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BOM" sheetId="1" r:id="rId1"/>
    <sheet name="Калькуляция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L98" i="2"/>
  <c r="E6"/>
  <c r="L6" s="1"/>
  <c r="E5"/>
  <c r="L5" s="1"/>
  <c r="A71"/>
  <c r="A70"/>
  <c r="L70"/>
  <c r="F70"/>
  <c r="E70"/>
  <c r="E91"/>
  <c r="F91" s="1"/>
  <c r="L89"/>
  <c r="L87"/>
  <c r="L85"/>
  <c r="L84"/>
  <c r="L83"/>
  <c r="L81"/>
  <c r="L80"/>
  <c r="L78"/>
  <c r="L76"/>
  <c r="L75"/>
  <c r="L74"/>
  <c r="L73"/>
  <c r="L68"/>
  <c r="L67"/>
  <c r="L66"/>
  <c r="L57"/>
  <c r="L56"/>
  <c r="L55"/>
  <c r="L54"/>
  <c r="L48"/>
  <c r="L44"/>
  <c r="L43"/>
  <c r="L40"/>
  <c r="L39"/>
  <c r="L38"/>
  <c r="L37"/>
  <c r="L29"/>
  <c r="L27"/>
  <c r="L26"/>
  <c r="L25"/>
  <c r="L24"/>
  <c r="L21"/>
  <c r="L20"/>
  <c r="L19"/>
  <c r="L18"/>
  <c r="L17"/>
  <c r="L13"/>
  <c r="L12"/>
  <c r="L11"/>
  <c r="F93"/>
  <c r="E89"/>
  <c r="F89" s="1"/>
  <c r="F87"/>
  <c r="F85"/>
  <c r="F84"/>
  <c r="E83"/>
  <c r="F83" s="1"/>
  <c r="F81"/>
  <c r="F80"/>
  <c r="E78"/>
  <c r="F78" s="1"/>
  <c r="E77"/>
  <c r="F77" s="1"/>
  <c r="F76"/>
  <c r="F75"/>
  <c r="F74"/>
  <c r="F73"/>
  <c r="F72"/>
  <c r="E72"/>
  <c r="L72" s="1"/>
  <c r="E71"/>
  <c r="F71" s="1"/>
  <c r="F68"/>
  <c r="E68"/>
  <c r="F67"/>
  <c r="E67"/>
  <c r="F66"/>
  <c r="E66"/>
  <c r="F65"/>
  <c r="E64"/>
  <c r="F64" s="1"/>
  <c r="F63"/>
  <c r="F62"/>
  <c r="E62"/>
  <c r="L62" s="1"/>
  <c r="E61"/>
  <c r="F61" s="1"/>
  <c r="F60"/>
  <c r="E60"/>
  <c r="L60" s="1"/>
  <c r="E59"/>
  <c r="F59" s="1"/>
  <c r="F58"/>
  <c r="F57"/>
  <c r="E57"/>
  <c r="F56"/>
  <c r="E56"/>
  <c r="E55"/>
  <c r="F55" s="1"/>
  <c r="F54"/>
  <c r="E54"/>
  <c r="E53"/>
  <c r="F53" s="1"/>
  <c r="F52"/>
  <c r="E52"/>
  <c r="L52" s="1"/>
  <c r="F51"/>
  <c r="F50"/>
  <c r="E50"/>
  <c r="L50" s="1"/>
  <c r="E49"/>
  <c r="F49" s="1"/>
  <c r="E48"/>
  <c r="F48" s="1"/>
  <c r="E47"/>
  <c r="F47" s="1"/>
  <c r="F46"/>
  <c r="E46"/>
  <c r="L46" s="1"/>
  <c r="E45"/>
  <c r="F45" s="1"/>
  <c r="F44"/>
  <c r="E44"/>
  <c r="F43"/>
  <c r="E43"/>
  <c r="F42"/>
  <c r="E42"/>
  <c r="L42" s="1"/>
  <c r="E41"/>
  <c r="F41" s="1"/>
  <c r="E40"/>
  <c r="F40" s="1"/>
  <c r="E39"/>
  <c r="F39" s="1"/>
  <c r="F38"/>
  <c r="E38"/>
  <c r="E37"/>
  <c r="F37" s="1"/>
  <c r="F36"/>
  <c r="E36"/>
  <c r="L36" s="1"/>
  <c r="F35"/>
  <c r="E35"/>
  <c r="L35" s="1"/>
  <c r="F33"/>
  <c r="E33"/>
  <c r="L33" s="1"/>
  <c r="F31"/>
  <c r="E31"/>
  <c r="L31" s="1"/>
  <c r="F29"/>
  <c r="E28"/>
  <c r="F28" s="1"/>
  <c r="F27"/>
  <c r="E27"/>
  <c r="F26"/>
  <c r="E25"/>
  <c r="F25" s="1"/>
  <c r="F24"/>
  <c r="E24"/>
  <c r="E23"/>
  <c r="F23" s="1"/>
  <c r="F21"/>
  <c r="F20"/>
  <c r="F19"/>
  <c r="F18"/>
  <c r="F17"/>
  <c r="E17"/>
  <c r="E16"/>
  <c r="F16" s="1"/>
  <c r="F15"/>
  <c r="E15"/>
  <c r="L15" s="1"/>
  <c r="E14"/>
  <c r="F14" s="1"/>
  <c r="F13"/>
  <c r="F12"/>
  <c r="F11"/>
  <c r="E10"/>
  <c r="F10" s="1"/>
  <c r="E9"/>
  <c r="F9" s="1"/>
  <c r="F8"/>
  <c r="E8"/>
  <c r="L8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  <c r="A27" s="1"/>
  <c r="A28" s="1"/>
  <c r="A29" s="1"/>
  <c r="A31" s="1"/>
  <c r="A33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2" s="1"/>
  <c r="A53" s="1"/>
  <c r="A54" s="1"/>
  <c r="A55" s="1"/>
  <c r="A56" s="1"/>
  <c r="A57" s="1"/>
  <c r="A59" s="1"/>
  <c r="A6"/>
  <c r="F5"/>
  <c r="F6" l="1"/>
  <c r="F95" s="1"/>
  <c r="F96" s="1"/>
  <c r="F97" s="1"/>
  <c r="L95"/>
  <c r="L96" s="1"/>
  <c r="L28"/>
  <c r="L47"/>
  <c r="L9"/>
  <c r="L45"/>
  <c r="L64"/>
  <c r="L61"/>
  <c r="L14"/>
  <c r="L77"/>
  <c r="L10"/>
  <c r="L16"/>
  <c r="L53"/>
  <c r="L23"/>
  <c r="L41"/>
  <c r="L49"/>
  <c r="L59"/>
  <c r="L71"/>
  <c r="L91"/>
  <c r="A60"/>
  <c r="A62" s="1"/>
  <c r="A64" s="1"/>
  <c r="A66" s="1"/>
  <c r="A67" s="1"/>
  <c r="A68" s="1"/>
  <c r="A72" s="1"/>
  <c r="A73" s="1"/>
  <c r="A74" s="1"/>
  <c r="A75" s="1"/>
  <c r="A76" s="1"/>
  <c r="A77" s="1"/>
  <c r="A78" s="1"/>
  <c r="A80" s="1"/>
  <c r="A81" s="1"/>
  <c r="A83" s="1"/>
  <c r="A84" s="1"/>
  <c r="A85" s="1"/>
  <c r="A87" s="1"/>
  <c r="A89" s="1"/>
  <c r="A91" s="1"/>
  <c r="A93" s="1"/>
  <c r="A61"/>
</calcChain>
</file>

<file path=xl/sharedStrings.xml><?xml version="1.0" encoding="utf-8"?>
<sst xmlns="http://schemas.openxmlformats.org/spreadsheetml/2006/main" count="446" uniqueCount="300">
  <si>
    <t>поз.</t>
  </si>
  <si>
    <t>Наименование</t>
  </si>
  <si>
    <t>примечание</t>
  </si>
  <si>
    <t>кол-во</t>
  </si>
  <si>
    <t>цена, без НДС</t>
  </si>
  <si>
    <t>Плата печатная</t>
  </si>
  <si>
    <t>USD</t>
  </si>
  <si>
    <t>РУБЛИ, с НДС</t>
  </si>
  <si>
    <t>РУБЛИ, без НДС</t>
  </si>
  <si>
    <t>сумма, без НДС</t>
  </si>
  <si>
    <t>Монтажные работы</t>
  </si>
  <si>
    <t>зам. на EEUFR1C102L  (Panasonic)</t>
  </si>
  <si>
    <t>THS4031ID</t>
  </si>
  <si>
    <t>(TI), VFB OpAmp, SOIC8</t>
  </si>
  <si>
    <t>MMBT3904LT1</t>
  </si>
  <si>
    <t>MMBT3906LT1</t>
  </si>
  <si>
    <t>(NXP), Транзистор NPN, SOT23</t>
  </si>
  <si>
    <t>(NXP), Транзистор PNP, SOT23</t>
  </si>
  <si>
    <t>MMBD4148</t>
  </si>
  <si>
    <t>(ONS), Диод, SOT23</t>
  </si>
  <si>
    <t>BAV99T</t>
  </si>
  <si>
    <t>BAS21LT1G</t>
  </si>
  <si>
    <t>MMSZ5236BT1G</t>
  </si>
  <si>
    <t>(ONS), Стабилитрон, 7V5, SOD123</t>
  </si>
  <si>
    <t>MMSZ5226BT1G</t>
  </si>
  <si>
    <t>(ONS), Стабилитрон, 3V3, SOD123</t>
  </si>
  <si>
    <t>(TOS), Оптотранзистор, 11-4C1</t>
  </si>
  <si>
    <t>зам. на 5103308-8</t>
  </si>
  <si>
    <t>Конденсатор 0805</t>
  </si>
  <si>
    <t>BH-40 (DS1013-40S) (IDC-40MS)</t>
  </si>
  <si>
    <t>RC2010JK-0715KL</t>
  </si>
  <si>
    <t>зам. на EEUFR1J221L (Panasonic)</t>
  </si>
  <si>
    <r>
      <t>(SAMWHA), серия WL, 220 uF 63 V, 10х25mm, 105</t>
    </r>
    <r>
      <rPr>
        <sz val="11"/>
        <color theme="1"/>
        <rFont val="Calibri"/>
        <family val="2"/>
        <charset val="204"/>
      </rPr>
      <t>°С</t>
    </r>
  </si>
  <si>
    <t>WL1J227M10025</t>
  </si>
  <si>
    <t>(AVX) Танталовый электролит, размер C, 100 uF, 6.3 V, 20%</t>
  </si>
  <si>
    <t>TLP181 GB</t>
  </si>
  <si>
    <t>TAJC107K006RNJ</t>
  </si>
  <si>
    <t>(YAG) Резистор 0805 100 кОм 5%</t>
  </si>
  <si>
    <t>RC0805JR-07100KL</t>
  </si>
  <si>
    <t>CD4093BM</t>
  </si>
  <si>
    <t>(TI), CMOS QUAD NAND-2, SO-14</t>
  </si>
  <si>
    <t>HS-135-38</t>
  </si>
  <si>
    <t>BCP53−16T1G</t>
  </si>
  <si>
    <t>BC846ALT1G</t>
  </si>
  <si>
    <t>BC856ALT1G</t>
  </si>
  <si>
    <t>(ONS), Транзистор NPN, SOT23</t>
  </si>
  <si>
    <t>(ONS), Транзистор PNP, SOT23</t>
  </si>
  <si>
    <t>(DIODES), Транзистор PNP, SOT223</t>
  </si>
  <si>
    <t>BC547B</t>
  </si>
  <si>
    <t>(ONS), Транзистор NPN, TO92</t>
  </si>
  <si>
    <t>KSE340</t>
  </si>
  <si>
    <t>(ONS), Транзистор PNP, TO-126</t>
  </si>
  <si>
    <t>KSE350</t>
  </si>
  <si>
    <t>(ONS), Транзистор NPN, TO-126</t>
  </si>
  <si>
    <t>KSC3503ESTU</t>
  </si>
  <si>
    <t>(ONS), Транзистор NPN,  TO-126</t>
  </si>
  <si>
    <t>KSE1381ESTU</t>
  </si>
  <si>
    <t>MJE15034G</t>
  </si>
  <si>
    <t>(ONS) Транзистор NPN, TO-220</t>
  </si>
  <si>
    <t>MJE15035G</t>
  </si>
  <si>
    <t>(ONS) Транзистор PNP, TO-220</t>
  </si>
  <si>
    <t>(ONS) Транзистор NPN, TO-3P</t>
  </si>
  <si>
    <t>(ONS) Транзистор PNP, TO-3P</t>
  </si>
  <si>
    <t>NJW3281G</t>
  </si>
  <si>
    <t>NJW1302G</t>
  </si>
  <si>
    <t>BZX84-A4V3</t>
  </si>
  <si>
    <t>MURS320T3G</t>
  </si>
  <si>
    <t>RC2512JK-071RL</t>
  </si>
  <si>
    <t>RC2010JK-0715RL</t>
  </si>
  <si>
    <t>RC2010JK-07200RL</t>
  </si>
  <si>
    <t>RC2010JK-0710KL</t>
  </si>
  <si>
    <t>(ONS), Диод, SMC (DO214AB)</t>
  </si>
  <si>
    <t>3296W-1-471LF</t>
  </si>
  <si>
    <t>(BOURNS) Резистор подстроечный, 470 Ом</t>
  </si>
  <si>
    <t>RC1206JR-073R3L</t>
  </si>
  <si>
    <t>(YAG) Резистор 1206 3,3 Ом 5%</t>
  </si>
  <si>
    <t>(YAG) Резистор 2010  15 Ом 5%</t>
  </si>
  <si>
    <t>(YAG) Резистор 2010  200 Ом 5%</t>
  </si>
  <si>
    <t>(YAG) Резистор 2010  10 КОм 5%</t>
  </si>
  <si>
    <t>(YAG) Резистор 2010  15 КОм 5%</t>
  </si>
  <si>
    <t>(YAG) Резистор 2512  1 Ом 5%</t>
  </si>
  <si>
    <r>
      <t xml:space="preserve">(YAG) Резистор 0805, 499 Ом, 0.5%, </t>
    </r>
    <r>
      <rPr>
        <sz val="11"/>
        <color theme="1"/>
        <rFont val="Calibri"/>
        <family val="2"/>
        <charset val="204"/>
      </rPr>
      <t>±</t>
    </r>
    <r>
      <rPr>
        <sz val="11"/>
        <color theme="1"/>
        <rFont val="Calibri"/>
        <family val="2"/>
        <charset val="204"/>
        <scheme val="minor"/>
      </rPr>
      <t>50ppm/°C</t>
    </r>
  </si>
  <si>
    <r>
      <t xml:space="preserve">(YAG) Резистор 0805, 1 KОм, 0.5%, </t>
    </r>
    <r>
      <rPr>
        <sz val="11"/>
        <color theme="1"/>
        <rFont val="Calibri"/>
        <family val="2"/>
        <charset val="204"/>
      </rPr>
      <t>±</t>
    </r>
    <r>
      <rPr>
        <sz val="11"/>
        <color theme="1"/>
        <rFont val="Calibri"/>
        <family val="2"/>
        <charset val="204"/>
        <scheme val="minor"/>
      </rPr>
      <t>50ppm/°C</t>
    </r>
  </si>
  <si>
    <t>(YAG) Резистор 1206 10.0K, 0.5% ±50ppm/°C</t>
  </si>
  <si>
    <t>RC1206JR-07130RL</t>
  </si>
  <si>
    <t>(YAG) Резистор 1206 130 Ом 5%</t>
  </si>
  <si>
    <t>RC1206JR-07510RL</t>
  </si>
  <si>
    <t>(YAG) Резистор 1206 510 Ом 5%</t>
  </si>
  <si>
    <t>RC1206JR-0751RL</t>
  </si>
  <si>
    <t>(YAG) Резистор 1206 51 Ом 5%</t>
  </si>
  <si>
    <t>RC1206JR-0715KL</t>
  </si>
  <si>
    <t>(YAG) Резистор 1206 15 KОм 5%</t>
  </si>
  <si>
    <t>RC1206JR-07150KL</t>
  </si>
  <si>
    <t>(YAG) Резистор 1206 150 KОм 5%</t>
  </si>
  <si>
    <t>RT0805DRE07499RL</t>
  </si>
  <si>
    <t>RT1206DRE0710KL</t>
  </si>
  <si>
    <t>RD1V227M0811MPF</t>
  </si>
  <si>
    <t>(SAM), серия RD, 220 uF 35 V d=8mm, 105°С</t>
  </si>
  <si>
    <t>CC1206JKNPOCBN101</t>
  </si>
  <si>
    <t>(YAG) 1206 JNPO 100 pF 1 KV</t>
  </si>
  <si>
    <t>Конденсатор 1206</t>
  </si>
  <si>
    <t>RC0805JR-071ML</t>
  </si>
  <si>
    <t>(YAG) Резистор 0805 1 MОм 5%</t>
  </si>
  <si>
    <t>RC0805JR-0730KL</t>
  </si>
  <si>
    <t>(YAG) Резистор 0805 30 кОм 5%</t>
  </si>
  <si>
    <t>(YAG) Резистор 0805 5,1 кОм 5%</t>
  </si>
  <si>
    <t>RC0805JR-075K1L</t>
  </si>
  <si>
    <t>RC0805JR-071K2L</t>
  </si>
  <si>
    <t>(YAG) Резистор 0805 1,2 кОм 5%</t>
  </si>
  <si>
    <t>RC0805JR-07510RL</t>
  </si>
  <si>
    <t>(YAG) Резистор 0805 510 Ом 5%</t>
  </si>
  <si>
    <t>RC0805JR-07750RL</t>
  </si>
  <si>
    <t>(YAG) Резистор 0805 750 Ом 5%</t>
  </si>
  <si>
    <t>(YAG) Резистор 0805 330 Ом 5%</t>
  </si>
  <si>
    <t>RC0805JR-07330RL</t>
  </si>
  <si>
    <t>RC0805FR-0710KL</t>
  </si>
  <si>
    <t>(YAG) Резистор 0805 10 кОм 1%</t>
  </si>
  <si>
    <t>RC0805JR-07100RL</t>
  </si>
  <si>
    <t>(YAG) Резистор 0805 100 Ом 5%</t>
  </si>
  <si>
    <t>RC0805JR-07160RL</t>
  </si>
  <si>
    <t>(YAG) Резистор 0805 160 Ом 5%</t>
  </si>
  <si>
    <t>RC0805JR-071RL</t>
  </si>
  <si>
    <t>(YAG) Резистор 0805 1 Ом 5%</t>
  </si>
  <si>
    <t>Калькуляция на усилительный модуль "BB2021"</t>
  </si>
  <si>
    <t>RC0805JR-0710RL</t>
  </si>
  <si>
    <t>(YAG) Резистор 0805 10 Ом 5%</t>
  </si>
  <si>
    <t>RC0805JR-0727RL</t>
  </si>
  <si>
    <t>(YAG) Резистор 0805 27 Ом 5%</t>
  </si>
  <si>
    <t>RC0805JR-0739RL</t>
  </si>
  <si>
    <t>(YAG) Резистор 0805 39 Ом 5%</t>
  </si>
  <si>
    <t>CC0805CRNPO0BN150</t>
  </si>
  <si>
    <t>RT0805DRE071KL</t>
  </si>
  <si>
    <t>(STONECOLD) Радиатор</t>
  </si>
  <si>
    <t>Comment</t>
  </si>
  <si>
    <t>Description</t>
  </si>
  <si>
    <t>Designator</t>
  </si>
  <si>
    <t>Part number</t>
  </si>
  <si>
    <t>Quantity</t>
  </si>
  <si>
    <t>220uF 35V</t>
  </si>
  <si>
    <t>Конденсатор ECAP</t>
  </si>
  <si>
    <t>C1, C2, C3, C4</t>
  </si>
  <si>
    <t>4,7uF 25V</t>
  </si>
  <si>
    <t>C5, C6, C7, C8</t>
  </si>
  <si>
    <t>C1608X5R1E475K080AC</t>
  </si>
  <si>
    <t>4.7nF NPO</t>
  </si>
  <si>
    <t>C9, C14</t>
  </si>
  <si>
    <t>CC0805JKNPO0BN472</t>
  </si>
  <si>
    <t>0,1uF</t>
  </si>
  <si>
    <t>C10, C11, C12, C13, C20, C21</t>
  </si>
  <si>
    <t>CC0805KRX7R9BB104</t>
  </si>
  <si>
    <t>15pF NPO</t>
  </si>
  <si>
    <t>C15, C22</t>
  </si>
  <si>
    <t>82pF</t>
  </si>
  <si>
    <t>C16</t>
  </si>
  <si>
    <t>CC0805JKNPO0BN820</t>
  </si>
  <si>
    <t>Конденсатор танталовый, тип C</t>
  </si>
  <si>
    <t>100pF 1KV</t>
  </si>
  <si>
    <t>C18, C27, C28, C31, C32</t>
  </si>
  <si>
    <t>1uF</t>
  </si>
  <si>
    <t>C25</t>
  </si>
  <si>
    <t>CC0805KRX7R8BB105</t>
  </si>
  <si>
    <t>100pF</t>
  </si>
  <si>
    <t>C23, C26</t>
  </si>
  <si>
    <t>CC0805JKNPO0BN101</t>
  </si>
  <si>
    <t>2,2uF 50V</t>
  </si>
  <si>
    <t>C29</t>
  </si>
  <si>
    <t>C3216X7R1H225K160AB</t>
  </si>
  <si>
    <t>10nF</t>
  </si>
  <si>
    <t>C30, C33</t>
  </si>
  <si>
    <t>CC0805KRX7R9BB103</t>
  </si>
  <si>
    <t>220uF 63V</t>
  </si>
  <si>
    <t>C35, C36, C37, C38, C39, C40, C41, C42</t>
  </si>
  <si>
    <t>Операционный усилитель</t>
  </si>
  <si>
    <t>DA1</t>
  </si>
  <si>
    <t>Микросхема логики</t>
  </si>
  <si>
    <t>DD1</t>
  </si>
  <si>
    <t>Радиатор</t>
  </si>
  <si>
    <t>HS1, HS2</t>
  </si>
  <si>
    <t>10</t>
  </si>
  <si>
    <t>Резистор 0805</t>
  </si>
  <si>
    <t>R1</t>
  </si>
  <si>
    <t>10k</t>
  </si>
  <si>
    <t>R4</t>
  </si>
  <si>
    <t>499 TH</t>
  </si>
  <si>
    <t>R5, R6</t>
  </si>
  <si>
    <t>1k TH</t>
  </si>
  <si>
    <t>R7</t>
  </si>
  <si>
    <t>200</t>
  </si>
  <si>
    <t>Резистор 2010</t>
  </si>
  <si>
    <t>R8, R9</t>
  </si>
  <si>
    <t>27</t>
  </si>
  <si>
    <t>R10, R11, R18, R24, R32</t>
  </si>
  <si>
    <t>10k TH</t>
  </si>
  <si>
    <t>Резистор 1206</t>
  </si>
  <si>
    <t>R13, R14</t>
  </si>
  <si>
    <t>15k</t>
  </si>
  <si>
    <t>R15</t>
  </si>
  <si>
    <t>0</t>
  </si>
  <si>
    <t>R17, R44, R47</t>
  </si>
  <si>
    <t>RC0805JR-070RL</t>
  </si>
  <si>
    <t>39</t>
  </si>
  <si>
    <t>R19</t>
  </si>
  <si>
    <t>150k</t>
  </si>
  <si>
    <t>R21</t>
  </si>
  <si>
    <t>5,1k</t>
  </si>
  <si>
    <t>R22, R25, R45, R80</t>
  </si>
  <si>
    <t>100</t>
  </si>
  <si>
    <t>R12, R20, R23</t>
  </si>
  <si>
    <t>R26, R27</t>
  </si>
  <si>
    <t>30k</t>
  </si>
  <si>
    <t>R28, R29, R51, R71</t>
  </si>
  <si>
    <t>510</t>
  </si>
  <si>
    <t>R30, R35</t>
  </si>
  <si>
    <t>1</t>
  </si>
  <si>
    <t>R31</t>
  </si>
  <si>
    <t>R33</t>
  </si>
  <si>
    <t>330</t>
  </si>
  <si>
    <t>R34, R37</t>
  </si>
  <si>
    <t>160</t>
  </si>
  <si>
    <t>R36</t>
  </si>
  <si>
    <t>1,2k</t>
  </si>
  <si>
    <t>R16, R38</t>
  </si>
  <si>
    <t>750</t>
  </si>
  <si>
    <t>R39, R40, R46</t>
  </si>
  <si>
    <t>R41, R42</t>
  </si>
  <si>
    <t>470</t>
  </si>
  <si>
    <t>Резистор подстроечный</t>
  </si>
  <si>
    <t>R43</t>
  </si>
  <si>
    <t>51</t>
  </si>
  <si>
    <t>R48, R50</t>
  </si>
  <si>
    <t>130</t>
  </si>
  <si>
    <t>R49</t>
  </si>
  <si>
    <t>15</t>
  </si>
  <si>
    <t>R2, R3, R52, R53</t>
  </si>
  <si>
    <t>100k</t>
  </si>
  <si>
    <t>R54, R59, R76, R77</t>
  </si>
  <si>
    <t>3.3</t>
  </si>
  <si>
    <t>R55, R56, R57, R58</t>
  </si>
  <si>
    <t>1M</t>
  </si>
  <si>
    <t>R60</t>
  </si>
  <si>
    <t>Резистор 2512</t>
  </si>
  <si>
    <t>R61, R62, R63, R64, R65, R66, R67, R68, R69, R70, R72, R73, R74, R75, R78, R79</t>
  </si>
  <si>
    <t>TLP181</t>
  </si>
  <si>
    <t>Оптопара</t>
  </si>
  <si>
    <t>U1, U2, U3</t>
  </si>
  <si>
    <t>Стабилитрон</t>
  </si>
  <si>
    <t>VD1, VD2</t>
  </si>
  <si>
    <t>Диод</t>
  </si>
  <si>
    <t>VD3, VD4, VD13, VD14, VD15, VD17, VD18, VD19</t>
  </si>
  <si>
    <t>VD5, VD6, VD7, VD8</t>
  </si>
  <si>
    <t>BAV99</t>
  </si>
  <si>
    <t>Диодная сборка</t>
  </si>
  <si>
    <t>VD9, VD16</t>
  </si>
  <si>
    <t>VD10, VD11</t>
  </si>
  <si>
    <t>VD12</t>
  </si>
  <si>
    <t>VD20, VD21</t>
  </si>
  <si>
    <t>Транзистор PNP</t>
  </si>
  <si>
    <t>VT1</t>
  </si>
  <si>
    <t>KSE350STU</t>
  </si>
  <si>
    <t>Транзистор NPN</t>
  </si>
  <si>
    <t>VT2</t>
  </si>
  <si>
    <t>KSE340STU</t>
  </si>
  <si>
    <t>VT3, VT5, VT6, VT11</t>
  </si>
  <si>
    <t xml:space="preserve">Транзистор NPN </t>
  </si>
  <si>
    <t>VT4, VT7, VT8, VT10</t>
  </si>
  <si>
    <t>VT9</t>
  </si>
  <si>
    <t>VT12, VT16</t>
  </si>
  <si>
    <t>VT13, VT15</t>
  </si>
  <si>
    <t>VT14</t>
  </si>
  <si>
    <t>BC547BRL1G</t>
  </si>
  <si>
    <t>VT17, VT19</t>
  </si>
  <si>
    <t>VT18, VT20</t>
  </si>
  <si>
    <t>VT21, VT23, VT25, VT27</t>
  </si>
  <si>
    <t>VT22, VT24, VT26, VT28</t>
  </si>
  <si>
    <t>VT29</t>
  </si>
  <si>
    <t>VT30</t>
  </si>
  <si>
    <t>BH-40</t>
  </si>
  <si>
    <t>Многоконтактный разъем на плату</t>
  </si>
  <si>
    <t>XP1</t>
  </si>
  <si>
    <t>DS1013-40SSIB1-B-0</t>
  </si>
  <si>
    <t>(NXP), Стабилитрон, 4V3, SOT23</t>
  </si>
  <si>
    <t>(YAG) Резистор 0805 0 Ом</t>
  </si>
  <si>
    <t>CC0805DRNPO0BN150</t>
  </si>
  <si>
    <r>
      <t xml:space="preserve">(YAG) 0805 NPO 15 pF </t>
    </r>
    <r>
      <rPr>
        <sz val="11"/>
        <color theme="1"/>
        <rFont val="Calibri"/>
        <family val="2"/>
        <charset val="204"/>
      </rPr>
      <t>±0.5 pF</t>
    </r>
    <r>
      <rPr>
        <sz val="11"/>
        <color theme="1"/>
        <rFont val="Calibri"/>
        <family val="2"/>
        <charset val="204"/>
        <scheme val="minor"/>
      </rPr>
      <t xml:space="preserve">, 100V </t>
    </r>
  </si>
  <si>
    <t>(YAG) 0805 NPO 4700 pF 5%, 100V</t>
  </si>
  <si>
    <t>(YAG) 0805 NPO 82 pF 5%, 100V</t>
  </si>
  <si>
    <t>(YAG) 0805 NPO 100 pF 5%, 100V</t>
  </si>
  <si>
    <t>(YAG) 0805 NPO 0,01 uF 10%, 50V</t>
  </si>
  <si>
    <t>(YAG) 0805 X7R 0,1 uF 10%, 50V</t>
  </si>
  <si>
    <t>(YAG) 0805 X7R 1 uF 10% 25V</t>
  </si>
  <si>
    <t>(TDK) 0805 X5R (X7R) 4,7 uF 10% 25V (16V)</t>
  </si>
  <si>
    <t>(TDK) 1206, X7R, 2,2 uF 10% 50 V</t>
  </si>
  <si>
    <t>(CONNFLY) Вилка на плату прямая, серии IDC, 40 контактов</t>
  </si>
  <si>
    <t>BB2021_amp_v0.1_190x70_2lay_105um</t>
  </si>
  <si>
    <t>C17, C19</t>
  </si>
  <si>
    <t>100uF 6,3V</t>
  </si>
  <si>
    <t>КИТ</t>
  </si>
  <si>
    <t>сумма</t>
  </si>
  <si>
    <r>
      <t xml:space="preserve">(YAG) 0805 NPO 1.5 pF </t>
    </r>
    <r>
      <rPr>
        <sz val="11"/>
        <color theme="1"/>
        <rFont val="Calibri"/>
        <family val="2"/>
        <charset val="204"/>
      </rPr>
      <t>±0.5 pF</t>
    </r>
    <r>
      <rPr>
        <sz val="11"/>
        <color theme="1"/>
        <rFont val="Calibri"/>
        <family val="2"/>
        <charset val="204"/>
        <scheme val="minor"/>
      </rPr>
      <t xml:space="preserve">, 100V </t>
    </r>
  </si>
  <si>
    <t>CC0805DRNPO0BN1R5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</si>
</sst>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0000"/>
      <name val="Segoe UI"/>
      <family val="2"/>
      <charset val="204"/>
    </font>
    <font>
      <b/>
      <sz val="8"/>
      <color rgb="FF00000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2" fontId="0" fillId="0" borderId="6" xfId="0" applyNumberFormat="1" applyBorder="1" applyAlignment="1">
      <alignment horizontal="left"/>
    </xf>
    <xf numFmtId="2" fontId="1" fillId="0" borderId="6" xfId="0" applyNumberFormat="1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2" fontId="1" fillId="0" borderId="9" xfId="0" applyNumberFormat="1" applyFont="1" applyBorder="1" applyAlignment="1">
      <alignment horizontal="left"/>
    </xf>
    <xf numFmtId="0" fontId="2" fillId="0" borderId="0" xfId="0" applyFont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4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1" xfId="0" applyNumberFormat="1" applyFill="1" applyBorder="1" applyAlignment="1">
      <alignment horizontal="left"/>
    </xf>
    <xf numFmtId="0" fontId="0" fillId="0" borderId="0" xfId="0" applyFill="1"/>
    <xf numFmtId="2" fontId="0" fillId="0" borderId="6" xfId="0" applyNumberForma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0" borderId="0" xfId="0" quotePrefix="1" applyFont="1" applyBorder="1"/>
    <xf numFmtId="0" fontId="5" fillId="0" borderId="1" xfId="0" quotePrefix="1" applyFont="1" applyFill="1" applyBorder="1" applyAlignment="1">
      <alignment horizontal="center"/>
    </xf>
    <xf numFmtId="0" fontId="0" fillId="0" borderId="0" xfId="0"/>
    <xf numFmtId="0" fontId="4" fillId="0" borderId="1" xfId="0" quotePrefix="1" applyFont="1" applyFill="1" applyBorder="1"/>
    <xf numFmtId="0" fontId="0" fillId="0" borderId="0" xfId="0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B2021_calc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калькуляция"/>
      <sheetName val="Усилитель"/>
      <sheetName val="Выпрямитель"/>
      <sheetName val="Буфер"/>
      <sheetName val="Список компонентов для заказа"/>
    </sheetNames>
    <sheetDataSet>
      <sheetData sheetId="0">
        <row r="1">
          <cell r="H1">
            <v>78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tabSelected="1" topLeftCell="A37" workbookViewId="0">
      <selection activeCell="G57" sqref="G57"/>
    </sheetView>
  </sheetViews>
  <sheetFormatPr defaultRowHeight="15"/>
  <cols>
    <col min="1" max="1" width="15.28515625" customWidth="1"/>
    <col min="2" max="2" width="28.42578125" customWidth="1"/>
    <col min="3" max="3" width="59.85546875" customWidth="1"/>
    <col min="4" max="4" width="21.28515625" customWidth="1"/>
    <col min="5" max="5" width="14.140625" customWidth="1"/>
  </cols>
  <sheetData>
    <row r="1" spans="1:5">
      <c r="A1" s="35" t="s">
        <v>133</v>
      </c>
      <c r="B1" s="35" t="s">
        <v>134</v>
      </c>
      <c r="C1" s="35" t="s">
        <v>135</v>
      </c>
      <c r="D1" s="35" t="s">
        <v>136</v>
      </c>
      <c r="E1" s="35" t="s">
        <v>137</v>
      </c>
    </row>
    <row r="2" spans="1:5">
      <c r="A2" s="37" t="s">
        <v>138</v>
      </c>
      <c r="B2" s="37" t="s">
        <v>139</v>
      </c>
      <c r="C2" s="37" t="s">
        <v>140</v>
      </c>
      <c r="D2" s="37" t="s">
        <v>96</v>
      </c>
      <c r="E2" s="40">
        <v>4</v>
      </c>
    </row>
    <row r="3" spans="1:5">
      <c r="A3" s="37" t="s">
        <v>141</v>
      </c>
      <c r="B3" s="37" t="s">
        <v>28</v>
      </c>
      <c r="C3" s="37" t="s">
        <v>142</v>
      </c>
      <c r="D3" s="37" t="s">
        <v>143</v>
      </c>
      <c r="E3" s="40">
        <v>4</v>
      </c>
    </row>
    <row r="4" spans="1:5">
      <c r="A4" s="37" t="s">
        <v>144</v>
      </c>
      <c r="B4" s="37" t="s">
        <v>28</v>
      </c>
      <c r="C4" s="37" t="s">
        <v>145</v>
      </c>
      <c r="D4" s="37" t="s">
        <v>146</v>
      </c>
      <c r="E4" s="40">
        <v>2</v>
      </c>
    </row>
    <row r="5" spans="1:5">
      <c r="A5" s="37" t="s">
        <v>147</v>
      </c>
      <c r="B5" s="37" t="s">
        <v>28</v>
      </c>
      <c r="C5" s="37" t="s">
        <v>148</v>
      </c>
      <c r="D5" s="37" t="s">
        <v>149</v>
      </c>
      <c r="E5" s="40">
        <v>6</v>
      </c>
    </row>
    <row r="6" spans="1:5">
      <c r="A6" s="37" t="s">
        <v>150</v>
      </c>
      <c r="B6" s="37" t="s">
        <v>28</v>
      </c>
      <c r="C6" s="37" t="s">
        <v>151</v>
      </c>
      <c r="D6" s="37" t="s">
        <v>130</v>
      </c>
      <c r="E6" s="40">
        <v>2</v>
      </c>
    </row>
    <row r="7" spans="1:5">
      <c r="A7" s="37" t="s">
        <v>152</v>
      </c>
      <c r="B7" s="37" t="s">
        <v>28</v>
      </c>
      <c r="C7" s="37" t="s">
        <v>153</v>
      </c>
      <c r="D7" s="37" t="s">
        <v>154</v>
      </c>
      <c r="E7" s="40">
        <v>1</v>
      </c>
    </row>
    <row r="8" spans="1:5">
      <c r="A8" s="37" t="s">
        <v>295</v>
      </c>
      <c r="B8" s="37" t="s">
        <v>155</v>
      </c>
      <c r="C8" s="39" t="s">
        <v>294</v>
      </c>
      <c r="D8" s="37" t="s">
        <v>36</v>
      </c>
      <c r="E8" s="40">
        <v>2</v>
      </c>
    </row>
    <row r="9" spans="1:5">
      <c r="A9" s="37" t="s">
        <v>156</v>
      </c>
      <c r="B9" s="37" t="s">
        <v>100</v>
      </c>
      <c r="C9" s="37" t="s">
        <v>157</v>
      </c>
      <c r="D9" s="37" t="s">
        <v>98</v>
      </c>
      <c r="E9" s="40">
        <v>5</v>
      </c>
    </row>
    <row r="10" spans="1:5">
      <c r="A10" s="37" t="s">
        <v>158</v>
      </c>
      <c r="B10" s="37" t="s">
        <v>28</v>
      </c>
      <c r="C10" s="37" t="s">
        <v>159</v>
      </c>
      <c r="D10" s="37" t="s">
        <v>160</v>
      </c>
      <c r="E10" s="40">
        <v>1</v>
      </c>
    </row>
    <row r="11" spans="1:5">
      <c r="A11" s="37" t="s">
        <v>161</v>
      </c>
      <c r="B11" s="37" t="s">
        <v>28</v>
      </c>
      <c r="C11" s="37" t="s">
        <v>162</v>
      </c>
      <c r="D11" s="37" t="s">
        <v>163</v>
      </c>
      <c r="E11" s="40">
        <v>2</v>
      </c>
    </row>
    <row r="12" spans="1:5">
      <c r="A12" s="37" t="s">
        <v>164</v>
      </c>
      <c r="B12" s="37" t="s">
        <v>100</v>
      </c>
      <c r="C12" s="37" t="s">
        <v>165</v>
      </c>
      <c r="D12" s="37" t="s">
        <v>166</v>
      </c>
      <c r="E12" s="40">
        <v>1</v>
      </c>
    </row>
    <row r="13" spans="1:5">
      <c r="A13" s="37" t="s">
        <v>167</v>
      </c>
      <c r="B13" s="37" t="s">
        <v>28</v>
      </c>
      <c r="C13" s="37" t="s">
        <v>168</v>
      </c>
      <c r="D13" s="37" t="s">
        <v>169</v>
      </c>
      <c r="E13" s="40">
        <v>2</v>
      </c>
    </row>
    <row r="14" spans="1:5">
      <c r="A14" s="37" t="s">
        <v>170</v>
      </c>
      <c r="B14" s="37" t="s">
        <v>139</v>
      </c>
      <c r="C14" s="37" t="s">
        <v>171</v>
      </c>
      <c r="D14" s="37" t="s">
        <v>33</v>
      </c>
      <c r="E14" s="40">
        <v>8</v>
      </c>
    </row>
    <row r="15" spans="1:5">
      <c r="A15" s="37" t="s">
        <v>12</v>
      </c>
      <c r="B15" s="39" t="s">
        <v>172</v>
      </c>
      <c r="C15" s="37" t="s">
        <v>173</v>
      </c>
      <c r="D15" s="37" t="s">
        <v>12</v>
      </c>
      <c r="E15" s="40">
        <v>1</v>
      </c>
    </row>
    <row r="16" spans="1:5">
      <c r="A16" s="37" t="s">
        <v>39</v>
      </c>
      <c r="B16" s="39" t="s">
        <v>174</v>
      </c>
      <c r="C16" s="37" t="s">
        <v>175</v>
      </c>
      <c r="D16" s="37" t="s">
        <v>39</v>
      </c>
      <c r="E16" s="40">
        <v>1</v>
      </c>
    </row>
    <row r="17" spans="1:5">
      <c r="A17" s="37" t="s">
        <v>41</v>
      </c>
      <c r="B17" s="39" t="s">
        <v>176</v>
      </c>
      <c r="C17" s="37" t="s">
        <v>177</v>
      </c>
      <c r="D17" s="37" t="s">
        <v>41</v>
      </c>
      <c r="E17" s="40">
        <v>2</v>
      </c>
    </row>
    <row r="18" spans="1:5">
      <c r="A18" s="37" t="s">
        <v>178</v>
      </c>
      <c r="B18" s="37" t="s">
        <v>179</v>
      </c>
      <c r="C18" s="37" t="s">
        <v>180</v>
      </c>
      <c r="D18" s="37" t="s">
        <v>124</v>
      </c>
      <c r="E18" s="40">
        <v>1</v>
      </c>
    </row>
    <row r="19" spans="1:5">
      <c r="A19" s="37" t="s">
        <v>181</v>
      </c>
      <c r="B19" s="37" t="s">
        <v>179</v>
      </c>
      <c r="C19" s="37" t="s">
        <v>182</v>
      </c>
      <c r="D19" s="37" t="s">
        <v>115</v>
      </c>
      <c r="E19" s="40">
        <v>1</v>
      </c>
    </row>
    <row r="20" spans="1:5">
      <c r="A20" s="37" t="s">
        <v>183</v>
      </c>
      <c r="B20" s="37" t="s">
        <v>179</v>
      </c>
      <c r="C20" s="37" t="s">
        <v>184</v>
      </c>
      <c r="D20" s="37" t="s">
        <v>94</v>
      </c>
      <c r="E20" s="40">
        <v>2</v>
      </c>
    </row>
    <row r="21" spans="1:5">
      <c r="A21" s="37" t="s">
        <v>185</v>
      </c>
      <c r="B21" s="37" t="s">
        <v>179</v>
      </c>
      <c r="C21" s="37" t="s">
        <v>186</v>
      </c>
      <c r="D21" s="37" t="s">
        <v>131</v>
      </c>
      <c r="E21" s="40">
        <v>1</v>
      </c>
    </row>
    <row r="22" spans="1:5">
      <c r="A22" s="37" t="s">
        <v>187</v>
      </c>
      <c r="B22" s="37" t="s">
        <v>188</v>
      </c>
      <c r="C22" s="37" t="s">
        <v>189</v>
      </c>
      <c r="D22" s="37" t="s">
        <v>69</v>
      </c>
      <c r="E22" s="40">
        <v>2</v>
      </c>
    </row>
    <row r="23" spans="1:5">
      <c r="A23" s="37" t="s">
        <v>190</v>
      </c>
      <c r="B23" s="37" t="s">
        <v>179</v>
      </c>
      <c r="C23" s="37" t="s">
        <v>191</v>
      </c>
      <c r="D23" s="37" t="s">
        <v>126</v>
      </c>
      <c r="E23" s="40">
        <v>5</v>
      </c>
    </row>
    <row r="24" spans="1:5">
      <c r="A24" s="37" t="s">
        <v>192</v>
      </c>
      <c r="B24" s="37" t="s">
        <v>193</v>
      </c>
      <c r="C24" s="37" t="s">
        <v>194</v>
      </c>
      <c r="D24" s="37" t="s">
        <v>95</v>
      </c>
      <c r="E24" s="40">
        <v>2</v>
      </c>
    </row>
    <row r="25" spans="1:5">
      <c r="A25" s="37" t="s">
        <v>195</v>
      </c>
      <c r="B25" s="37" t="s">
        <v>188</v>
      </c>
      <c r="C25" s="37" t="s">
        <v>196</v>
      </c>
      <c r="D25" s="37" t="s">
        <v>30</v>
      </c>
      <c r="E25" s="40">
        <v>1</v>
      </c>
    </row>
    <row r="26" spans="1:5">
      <c r="A26" s="37" t="s">
        <v>197</v>
      </c>
      <c r="B26" s="37" t="s">
        <v>179</v>
      </c>
      <c r="C26" s="37" t="s">
        <v>198</v>
      </c>
      <c r="D26" s="37" t="s">
        <v>199</v>
      </c>
      <c r="E26" s="40">
        <v>3</v>
      </c>
    </row>
    <row r="27" spans="1:5">
      <c r="A27" s="37" t="s">
        <v>200</v>
      </c>
      <c r="B27" s="37" t="s">
        <v>179</v>
      </c>
      <c r="C27" s="37" t="s">
        <v>201</v>
      </c>
      <c r="D27" s="37" t="s">
        <v>128</v>
      </c>
      <c r="E27" s="40">
        <v>1</v>
      </c>
    </row>
    <row r="28" spans="1:5">
      <c r="A28" s="37" t="s">
        <v>202</v>
      </c>
      <c r="B28" s="37" t="s">
        <v>193</v>
      </c>
      <c r="C28" s="37" t="s">
        <v>203</v>
      </c>
      <c r="D28" s="37" t="s">
        <v>92</v>
      </c>
      <c r="E28" s="40">
        <v>1</v>
      </c>
    </row>
    <row r="29" spans="1:5">
      <c r="A29" s="37" t="s">
        <v>204</v>
      </c>
      <c r="B29" s="37" t="s">
        <v>179</v>
      </c>
      <c r="C29" s="37" t="s">
        <v>205</v>
      </c>
      <c r="D29" s="37" t="s">
        <v>106</v>
      </c>
      <c r="E29" s="40">
        <v>4</v>
      </c>
    </row>
    <row r="30" spans="1:5">
      <c r="A30" s="37" t="s">
        <v>206</v>
      </c>
      <c r="B30" s="37" t="s">
        <v>179</v>
      </c>
      <c r="C30" s="37" t="s">
        <v>207</v>
      </c>
      <c r="D30" s="37" t="s">
        <v>117</v>
      </c>
      <c r="E30" s="40">
        <v>3</v>
      </c>
    </row>
    <row r="31" spans="1:5">
      <c r="A31" s="37" t="s">
        <v>181</v>
      </c>
      <c r="B31" s="37" t="s">
        <v>188</v>
      </c>
      <c r="C31" s="37" t="s">
        <v>208</v>
      </c>
      <c r="D31" s="37" t="s">
        <v>70</v>
      </c>
      <c r="E31" s="40">
        <v>2</v>
      </c>
    </row>
    <row r="32" spans="1:5">
      <c r="A32" s="37" t="s">
        <v>209</v>
      </c>
      <c r="B32" s="37" t="s">
        <v>179</v>
      </c>
      <c r="C32" s="37" t="s">
        <v>210</v>
      </c>
      <c r="D32" s="37" t="s">
        <v>103</v>
      </c>
      <c r="E32" s="40">
        <v>4</v>
      </c>
    </row>
    <row r="33" spans="1:5">
      <c r="A33" s="37" t="s">
        <v>211</v>
      </c>
      <c r="B33" s="37" t="s">
        <v>179</v>
      </c>
      <c r="C33" s="37" t="s">
        <v>212</v>
      </c>
      <c r="D33" s="37" t="s">
        <v>109</v>
      </c>
      <c r="E33" s="40">
        <v>2</v>
      </c>
    </row>
    <row r="34" spans="1:5">
      <c r="A34" s="37" t="s">
        <v>213</v>
      </c>
      <c r="B34" s="37" t="s">
        <v>179</v>
      </c>
      <c r="C34" s="37" t="s">
        <v>214</v>
      </c>
      <c r="D34" s="37" t="s">
        <v>121</v>
      </c>
      <c r="E34" s="40">
        <v>1</v>
      </c>
    </row>
    <row r="35" spans="1:5">
      <c r="A35" s="37" t="s">
        <v>211</v>
      </c>
      <c r="B35" s="37" t="s">
        <v>193</v>
      </c>
      <c r="C35" s="37" t="s">
        <v>215</v>
      </c>
      <c r="D35" s="37" t="s">
        <v>86</v>
      </c>
      <c r="E35" s="40">
        <v>1</v>
      </c>
    </row>
    <row r="36" spans="1:5">
      <c r="A36" s="37" t="s">
        <v>216</v>
      </c>
      <c r="B36" s="37" t="s">
        <v>179</v>
      </c>
      <c r="C36" s="37" t="s">
        <v>217</v>
      </c>
      <c r="D36" s="37" t="s">
        <v>114</v>
      </c>
      <c r="E36" s="40">
        <v>2</v>
      </c>
    </row>
    <row r="37" spans="1:5">
      <c r="A37" s="37" t="s">
        <v>218</v>
      </c>
      <c r="B37" s="37" t="s">
        <v>179</v>
      </c>
      <c r="C37" s="37" t="s">
        <v>219</v>
      </c>
      <c r="D37" s="37" t="s">
        <v>119</v>
      </c>
      <c r="E37" s="40">
        <v>1</v>
      </c>
    </row>
    <row r="38" spans="1:5">
      <c r="A38" s="37" t="s">
        <v>220</v>
      </c>
      <c r="B38" s="37" t="s">
        <v>179</v>
      </c>
      <c r="C38" s="37" t="s">
        <v>221</v>
      </c>
      <c r="D38" s="37" t="s">
        <v>107</v>
      </c>
      <c r="E38" s="40">
        <v>2</v>
      </c>
    </row>
    <row r="39" spans="1:5">
      <c r="A39" s="37" t="s">
        <v>222</v>
      </c>
      <c r="B39" s="37" t="s">
        <v>179</v>
      </c>
      <c r="C39" s="37" t="s">
        <v>223</v>
      </c>
      <c r="D39" s="37" t="s">
        <v>111</v>
      </c>
      <c r="E39" s="40">
        <v>3</v>
      </c>
    </row>
    <row r="40" spans="1:5">
      <c r="A40" s="37" t="s">
        <v>195</v>
      </c>
      <c r="B40" s="37" t="s">
        <v>193</v>
      </c>
      <c r="C40" s="37" t="s">
        <v>224</v>
      </c>
      <c r="D40" s="37" t="s">
        <v>90</v>
      </c>
      <c r="E40" s="40">
        <v>2</v>
      </c>
    </row>
    <row r="41" spans="1:5">
      <c r="A41" s="37" t="s">
        <v>225</v>
      </c>
      <c r="B41" s="37" t="s">
        <v>226</v>
      </c>
      <c r="C41" s="37" t="s">
        <v>227</v>
      </c>
      <c r="D41" s="37" t="s">
        <v>72</v>
      </c>
      <c r="E41" s="40">
        <v>1</v>
      </c>
    </row>
    <row r="42" spans="1:5">
      <c r="A42" s="37" t="s">
        <v>228</v>
      </c>
      <c r="B42" s="37" t="s">
        <v>193</v>
      </c>
      <c r="C42" s="37" t="s">
        <v>229</v>
      </c>
      <c r="D42" s="37" t="s">
        <v>88</v>
      </c>
      <c r="E42" s="40">
        <v>2</v>
      </c>
    </row>
    <row r="43" spans="1:5">
      <c r="A43" s="37" t="s">
        <v>230</v>
      </c>
      <c r="B43" s="37" t="s">
        <v>193</v>
      </c>
      <c r="C43" s="37" t="s">
        <v>231</v>
      </c>
      <c r="D43" s="37" t="s">
        <v>84</v>
      </c>
      <c r="E43" s="40">
        <v>1</v>
      </c>
    </row>
    <row r="44" spans="1:5">
      <c r="A44" s="37" t="s">
        <v>232</v>
      </c>
      <c r="B44" s="37" t="s">
        <v>188</v>
      </c>
      <c r="C44" s="37" t="s">
        <v>233</v>
      </c>
      <c r="D44" s="37" t="s">
        <v>68</v>
      </c>
      <c r="E44" s="40">
        <v>4</v>
      </c>
    </row>
    <row r="45" spans="1:5">
      <c r="A45" s="37" t="s">
        <v>234</v>
      </c>
      <c r="B45" s="37" t="s">
        <v>179</v>
      </c>
      <c r="C45" s="37" t="s">
        <v>235</v>
      </c>
      <c r="D45" s="37" t="s">
        <v>38</v>
      </c>
      <c r="E45" s="40">
        <v>4</v>
      </c>
    </row>
    <row r="46" spans="1:5">
      <c r="A46" s="37" t="s">
        <v>236</v>
      </c>
      <c r="B46" s="37" t="s">
        <v>193</v>
      </c>
      <c r="C46" s="37" t="s">
        <v>237</v>
      </c>
      <c r="D46" s="37" t="s">
        <v>74</v>
      </c>
      <c r="E46" s="40">
        <v>4</v>
      </c>
    </row>
    <row r="47" spans="1:5">
      <c r="A47" s="37" t="s">
        <v>238</v>
      </c>
      <c r="B47" s="37" t="s">
        <v>179</v>
      </c>
      <c r="C47" s="37" t="s">
        <v>239</v>
      </c>
      <c r="D47" s="37" t="s">
        <v>101</v>
      </c>
      <c r="E47" s="40">
        <v>1</v>
      </c>
    </row>
    <row r="48" spans="1:5">
      <c r="A48" s="37" t="s">
        <v>213</v>
      </c>
      <c r="B48" s="37" t="s">
        <v>240</v>
      </c>
      <c r="C48" s="37" t="s">
        <v>241</v>
      </c>
      <c r="D48" s="37" t="s">
        <v>67</v>
      </c>
      <c r="E48" s="40">
        <v>16</v>
      </c>
    </row>
    <row r="49" spans="1:5">
      <c r="A49" s="37" t="s">
        <v>242</v>
      </c>
      <c r="B49" s="37" t="s">
        <v>243</v>
      </c>
      <c r="C49" s="37" t="s">
        <v>244</v>
      </c>
      <c r="D49" s="37" t="s">
        <v>35</v>
      </c>
      <c r="E49" s="40">
        <v>3</v>
      </c>
    </row>
    <row r="50" spans="1:5">
      <c r="A50" s="37" t="s">
        <v>22</v>
      </c>
      <c r="B50" s="39" t="s">
        <v>245</v>
      </c>
      <c r="C50" s="37" t="s">
        <v>246</v>
      </c>
      <c r="D50" s="37" t="s">
        <v>22</v>
      </c>
      <c r="E50" s="40">
        <v>2</v>
      </c>
    </row>
    <row r="51" spans="1:5">
      <c r="A51" s="37" t="s">
        <v>18</v>
      </c>
      <c r="B51" s="39" t="s">
        <v>247</v>
      </c>
      <c r="C51" s="37" t="s">
        <v>248</v>
      </c>
      <c r="D51" s="37" t="s">
        <v>18</v>
      </c>
      <c r="E51" s="40">
        <v>8</v>
      </c>
    </row>
    <row r="52" spans="1:5">
      <c r="A52" s="37" t="s">
        <v>24</v>
      </c>
      <c r="B52" s="39" t="s">
        <v>245</v>
      </c>
      <c r="C52" s="37" t="s">
        <v>249</v>
      </c>
      <c r="D52" s="37" t="s">
        <v>24</v>
      </c>
      <c r="E52" s="40">
        <v>4</v>
      </c>
    </row>
    <row r="53" spans="1:5">
      <c r="A53" s="37" t="s">
        <v>250</v>
      </c>
      <c r="B53" s="39" t="s">
        <v>251</v>
      </c>
      <c r="C53" s="37" t="s">
        <v>252</v>
      </c>
      <c r="D53" s="37" t="s">
        <v>250</v>
      </c>
      <c r="E53" s="40">
        <v>2</v>
      </c>
    </row>
    <row r="54" spans="1:5">
      <c r="A54" s="37" t="s">
        <v>21</v>
      </c>
      <c r="B54" s="39" t="s">
        <v>247</v>
      </c>
      <c r="C54" s="37" t="s">
        <v>253</v>
      </c>
      <c r="D54" s="37" t="s">
        <v>21</v>
      </c>
      <c r="E54" s="40">
        <v>2</v>
      </c>
    </row>
    <row r="55" spans="1:5">
      <c r="A55" s="39" t="s">
        <v>65</v>
      </c>
      <c r="B55" s="39" t="s">
        <v>245</v>
      </c>
      <c r="C55" s="37" t="s">
        <v>254</v>
      </c>
      <c r="D55" s="37" t="s">
        <v>65</v>
      </c>
      <c r="E55" s="40">
        <v>1</v>
      </c>
    </row>
    <row r="56" spans="1:5">
      <c r="A56" s="37" t="s">
        <v>66</v>
      </c>
      <c r="B56" s="39" t="s">
        <v>247</v>
      </c>
      <c r="C56" s="37" t="s">
        <v>255</v>
      </c>
      <c r="D56" s="37" t="s">
        <v>66</v>
      </c>
      <c r="E56" s="40">
        <v>2</v>
      </c>
    </row>
    <row r="57" spans="1:5">
      <c r="A57" s="37" t="s">
        <v>52</v>
      </c>
      <c r="B57" s="37" t="s">
        <v>256</v>
      </c>
      <c r="C57" s="37" t="s">
        <v>257</v>
      </c>
      <c r="D57" s="37" t="s">
        <v>258</v>
      </c>
      <c r="E57" s="40">
        <v>1</v>
      </c>
    </row>
    <row r="58" spans="1:5">
      <c r="A58" s="37" t="s">
        <v>50</v>
      </c>
      <c r="B58" s="37" t="s">
        <v>259</v>
      </c>
      <c r="C58" s="37" t="s">
        <v>260</v>
      </c>
      <c r="D58" s="37" t="s">
        <v>261</v>
      </c>
      <c r="E58" s="40">
        <v>1</v>
      </c>
    </row>
    <row r="59" spans="1:5">
      <c r="A59" s="37" t="s">
        <v>15</v>
      </c>
      <c r="B59" s="39" t="s">
        <v>256</v>
      </c>
      <c r="C59" s="37" t="s">
        <v>262</v>
      </c>
      <c r="D59" s="37" t="s">
        <v>15</v>
      </c>
      <c r="E59" s="40">
        <v>3</v>
      </c>
    </row>
    <row r="60" spans="1:5">
      <c r="A60" s="37" t="s">
        <v>14</v>
      </c>
      <c r="B60" s="39" t="s">
        <v>263</v>
      </c>
      <c r="C60" s="37" t="s">
        <v>264</v>
      </c>
      <c r="D60" s="37" t="s">
        <v>14</v>
      </c>
      <c r="E60" s="40">
        <v>4</v>
      </c>
    </row>
    <row r="61" spans="1:5">
      <c r="A61" s="37" t="s">
        <v>42</v>
      </c>
      <c r="B61" s="39" t="s">
        <v>256</v>
      </c>
      <c r="C61" s="37" t="s">
        <v>265</v>
      </c>
      <c r="D61" s="37" t="s">
        <v>42</v>
      </c>
      <c r="E61" s="40">
        <v>1</v>
      </c>
    </row>
    <row r="62" spans="1:5">
      <c r="A62" s="39" t="s">
        <v>56</v>
      </c>
      <c r="B62" s="37" t="s">
        <v>256</v>
      </c>
      <c r="C62" s="37" t="s">
        <v>266</v>
      </c>
      <c r="D62" s="37" t="s">
        <v>56</v>
      </c>
      <c r="E62" s="40">
        <v>2</v>
      </c>
    </row>
    <row r="63" spans="1:5">
      <c r="A63" s="37" t="s">
        <v>54</v>
      </c>
      <c r="B63" s="39" t="s">
        <v>263</v>
      </c>
      <c r="C63" s="37" t="s">
        <v>267</v>
      </c>
      <c r="D63" s="37" t="s">
        <v>54</v>
      </c>
      <c r="E63" s="40">
        <v>2</v>
      </c>
    </row>
    <row r="64" spans="1:5">
      <c r="A64" s="37" t="s">
        <v>48</v>
      </c>
      <c r="B64" s="39" t="s">
        <v>263</v>
      </c>
      <c r="C64" s="37" t="s">
        <v>268</v>
      </c>
      <c r="D64" s="37" t="s">
        <v>269</v>
      </c>
      <c r="E64" s="40">
        <v>1</v>
      </c>
    </row>
    <row r="65" spans="1:5">
      <c r="A65" s="37" t="s">
        <v>57</v>
      </c>
      <c r="B65" s="39" t="s">
        <v>263</v>
      </c>
      <c r="C65" s="37" t="s">
        <v>270</v>
      </c>
      <c r="D65" s="37" t="s">
        <v>57</v>
      </c>
      <c r="E65" s="40">
        <v>2</v>
      </c>
    </row>
    <row r="66" spans="1:5">
      <c r="A66" s="37" t="s">
        <v>59</v>
      </c>
      <c r="B66" s="37" t="s">
        <v>256</v>
      </c>
      <c r="C66" s="37" t="s">
        <v>271</v>
      </c>
      <c r="D66" s="37" t="s">
        <v>59</v>
      </c>
      <c r="E66" s="40">
        <v>2</v>
      </c>
    </row>
    <row r="67" spans="1:5">
      <c r="A67" s="37" t="s">
        <v>63</v>
      </c>
      <c r="B67" s="39" t="s">
        <v>263</v>
      </c>
      <c r="C67" s="37" t="s">
        <v>272</v>
      </c>
      <c r="D67" s="37" t="s">
        <v>63</v>
      </c>
      <c r="E67" s="40">
        <v>4</v>
      </c>
    </row>
    <row r="68" spans="1:5">
      <c r="A68" s="37" t="s">
        <v>64</v>
      </c>
      <c r="B68" s="37" t="s">
        <v>256</v>
      </c>
      <c r="C68" s="37" t="s">
        <v>273</v>
      </c>
      <c r="D68" s="37" t="s">
        <v>64</v>
      </c>
      <c r="E68" s="40">
        <v>4</v>
      </c>
    </row>
    <row r="69" spans="1:5">
      <c r="A69" s="37" t="s">
        <v>43</v>
      </c>
      <c r="B69" s="37" t="s">
        <v>259</v>
      </c>
      <c r="C69" s="37" t="s">
        <v>274</v>
      </c>
      <c r="D69" s="37" t="s">
        <v>43</v>
      </c>
      <c r="E69" s="40">
        <v>1</v>
      </c>
    </row>
    <row r="70" spans="1:5">
      <c r="A70" s="37" t="s">
        <v>44</v>
      </c>
      <c r="B70" s="37" t="s">
        <v>256</v>
      </c>
      <c r="C70" s="37" t="s">
        <v>275</v>
      </c>
      <c r="D70" s="37" t="s">
        <v>44</v>
      </c>
      <c r="E70" s="40">
        <v>1</v>
      </c>
    </row>
    <row r="71" spans="1:5">
      <c r="A71" s="37" t="s">
        <v>276</v>
      </c>
      <c r="B71" s="39" t="s">
        <v>277</v>
      </c>
      <c r="C71" s="37" t="s">
        <v>278</v>
      </c>
      <c r="D71" s="37" t="s">
        <v>279</v>
      </c>
      <c r="E71" s="40">
        <v>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2"/>
  <sheetViews>
    <sheetView topLeftCell="A76" workbookViewId="0">
      <selection activeCell="L99" sqref="L99"/>
    </sheetView>
  </sheetViews>
  <sheetFormatPr defaultRowHeight="15"/>
  <cols>
    <col min="1" max="1" width="4.28515625" style="36" customWidth="1"/>
    <col min="2" max="2" width="44" style="36" customWidth="1"/>
    <col min="3" max="3" width="54.85546875" style="36" customWidth="1"/>
    <col min="4" max="4" width="8.7109375" style="36" customWidth="1"/>
    <col min="5" max="5" width="18.140625" style="36" customWidth="1"/>
    <col min="6" max="6" width="15.85546875" style="36" customWidth="1"/>
    <col min="7" max="11" width="9.140625" style="36"/>
    <col min="12" max="12" width="10.5703125" style="36" bestFit="1" customWidth="1"/>
    <col min="13" max="16384" width="9.140625" style="36"/>
  </cols>
  <sheetData>
    <row r="1" spans="1:12" ht="21">
      <c r="C1" s="16" t="s">
        <v>123</v>
      </c>
      <c r="G1" s="1"/>
    </row>
    <row r="2" spans="1:12" ht="15.75" thickBot="1">
      <c r="K2" s="36" t="s">
        <v>296</v>
      </c>
    </row>
    <row r="3" spans="1:1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 t="s">
        <v>9</v>
      </c>
      <c r="H3" s="41"/>
      <c r="I3" s="41"/>
      <c r="K3" s="41" t="s">
        <v>3</v>
      </c>
      <c r="L3" s="41" t="s">
        <v>297</v>
      </c>
    </row>
    <row r="4" spans="1:12">
      <c r="A4" s="8"/>
      <c r="B4" s="2"/>
      <c r="C4" s="2"/>
      <c r="D4" s="2"/>
      <c r="E4" s="2"/>
      <c r="F4" s="9"/>
    </row>
    <row r="5" spans="1:12" s="30" customFormat="1">
      <c r="A5" s="32">
        <v>1</v>
      </c>
      <c r="B5" s="33" t="s">
        <v>12</v>
      </c>
      <c r="C5" s="33" t="s">
        <v>13</v>
      </c>
      <c r="D5" s="26">
        <v>1</v>
      </c>
      <c r="E5" s="29">
        <f>350/1.2</f>
        <v>291.66666666666669</v>
      </c>
      <c r="F5" s="31">
        <f>D5*E5</f>
        <v>291.66666666666669</v>
      </c>
      <c r="H5" s="42"/>
      <c r="I5" s="42"/>
      <c r="K5" s="42">
        <v>2</v>
      </c>
      <c r="L5" s="44">
        <f>E5*K5</f>
        <v>583.33333333333337</v>
      </c>
    </row>
    <row r="6" spans="1:12" s="30" customFormat="1">
      <c r="A6" s="32">
        <f>A5+1</f>
        <v>2</v>
      </c>
      <c r="B6" s="33" t="s">
        <v>39</v>
      </c>
      <c r="C6" s="33" t="s">
        <v>40</v>
      </c>
      <c r="D6" s="26">
        <v>1</v>
      </c>
      <c r="E6" s="29">
        <f>32/1.2</f>
        <v>26.666666666666668</v>
      </c>
      <c r="F6" s="31">
        <f>D6*E6</f>
        <v>26.666666666666668</v>
      </c>
      <c r="H6" s="42"/>
      <c r="I6" s="42"/>
      <c r="K6" s="42">
        <v>2</v>
      </c>
      <c r="L6" s="44">
        <f>E6*K6</f>
        <v>53.333333333333336</v>
      </c>
    </row>
    <row r="7" spans="1:12" s="30" customFormat="1">
      <c r="A7" s="32"/>
      <c r="B7" s="33"/>
      <c r="C7" s="33"/>
      <c r="D7" s="26"/>
      <c r="E7" s="29"/>
      <c r="F7" s="31"/>
      <c r="H7" s="42"/>
      <c r="I7" s="42"/>
      <c r="K7" s="42"/>
      <c r="L7" s="44"/>
    </row>
    <row r="8" spans="1:12" s="30" customFormat="1">
      <c r="A8" s="32">
        <f>A6+1</f>
        <v>3</v>
      </c>
      <c r="B8" s="33" t="s">
        <v>14</v>
      </c>
      <c r="C8" s="33" t="s">
        <v>16</v>
      </c>
      <c r="D8" s="26">
        <v>4</v>
      </c>
      <c r="E8" s="29">
        <f>0.75/1.2</f>
        <v>0.625</v>
      </c>
      <c r="F8" s="31">
        <f t="shared" ref="F8:F68" si="0">D8*E8</f>
        <v>2.5</v>
      </c>
      <c r="H8" s="42"/>
      <c r="I8" s="42"/>
      <c r="K8" s="42">
        <v>8</v>
      </c>
      <c r="L8" s="44">
        <f t="shared" ref="L8:L21" si="1">E8*K8</f>
        <v>5</v>
      </c>
    </row>
    <row r="9" spans="1:12" s="30" customFormat="1">
      <c r="A9" s="32">
        <f t="shared" ref="A9:A21" si="2">A8+1</f>
        <v>4</v>
      </c>
      <c r="B9" s="33" t="s">
        <v>15</v>
      </c>
      <c r="C9" s="33" t="s">
        <v>17</v>
      </c>
      <c r="D9" s="26">
        <v>4</v>
      </c>
      <c r="E9" s="29">
        <f>0.8/1.2</f>
        <v>0.66666666666666674</v>
      </c>
      <c r="F9" s="31">
        <f t="shared" si="0"/>
        <v>2.666666666666667</v>
      </c>
      <c r="H9" s="42"/>
      <c r="I9" s="42"/>
      <c r="K9" s="42">
        <v>8</v>
      </c>
      <c r="L9" s="44">
        <f t="shared" si="1"/>
        <v>5.3333333333333339</v>
      </c>
    </row>
    <row r="10" spans="1:12" s="30" customFormat="1">
      <c r="A10" s="32">
        <f t="shared" si="2"/>
        <v>5</v>
      </c>
      <c r="B10" s="33" t="s">
        <v>42</v>
      </c>
      <c r="C10" s="33" t="s">
        <v>47</v>
      </c>
      <c r="D10" s="26">
        <v>1</v>
      </c>
      <c r="E10" s="29">
        <f>6/1.2</f>
        <v>5</v>
      </c>
      <c r="F10" s="31">
        <f t="shared" si="0"/>
        <v>5</v>
      </c>
      <c r="H10" s="42"/>
      <c r="I10" s="42"/>
      <c r="K10" s="42">
        <v>2</v>
      </c>
      <c r="L10" s="44">
        <f t="shared" si="1"/>
        <v>10</v>
      </c>
    </row>
    <row r="11" spans="1:12" s="30" customFormat="1">
      <c r="A11" s="32">
        <f t="shared" si="2"/>
        <v>6</v>
      </c>
      <c r="B11" s="33" t="s">
        <v>43</v>
      </c>
      <c r="C11" s="33" t="s">
        <v>45</v>
      </c>
      <c r="D11" s="26">
        <v>1</v>
      </c>
      <c r="E11" s="29">
        <v>0.9</v>
      </c>
      <c r="F11" s="31">
        <f t="shared" si="0"/>
        <v>0.9</v>
      </c>
      <c r="H11" s="42"/>
      <c r="I11" s="42"/>
      <c r="K11" s="42">
        <v>2</v>
      </c>
      <c r="L11" s="44">
        <f t="shared" si="1"/>
        <v>1.8</v>
      </c>
    </row>
    <row r="12" spans="1:12" s="30" customFormat="1">
      <c r="A12" s="32">
        <f t="shared" si="2"/>
        <v>7</v>
      </c>
      <c r="B12" s="33" t="s">
        <v>44</v>
      </c>
      <c r="C12" s="33" t="s">
        <v>46</v>
      </c>
      <c r="D12" s="26">
        <v>1</v>
      </c>
      <c r="E12" s="29">
        <v>0.9</v>
      </c>
      <c r="F12" s="31">
        <f t="shared" si="0"/>
        <v>0.9</v>
      </c>
      <c r="H12" s="42"/>
      <c r="I12" s="42"/>
      <c r="K12" s="42">
        <v>2</v>
      </c>
      <c r="L12" s="44">
        <f t="shared" si="1"/>
        <v>1.8</v>
      </c>
    </row>
    <row r="13" spans="1:12" s="30" customFormat="1">
      <c r="A13" s="32">
        <f t="shared" si="2"/>
        <v>8</v>
      </c>
      <c r="B13" s="33" t="s">
        <v>48</v>
      </c>
      <c r="C13" s="33" t="s">
        <v>49</v>
      </c>
      <c r="D13" s="26">
        <v>1</v>
      </c>
      <c r="E13" s="29">
        <v>1</v>
      </c>
      <c r="F13" s="31">
        <f t="shared" si="0"/>
        <v>1</v>
      </c>
      <c r="H13" s="42"/>
      <c r="I13" s="42"/>
      <c r="K13" s="42">
        <v>0</v>
      </c>
      <c r="L13" s="44">
        <f t="shared" si="1"/>
        <v>0</v>
      </c>
    </row>
    <row r="14" spans="1:12" s="30" customFormat="1">
      <c r="A14" s="32">
        <f t="shared" si="2"/>
        <v>9</v>
      </c>
      <c r="B14" s="33" t="s">
        <v>261</v>
      </c>
      <c r="C14" s="33" t="s">
        <v>53</v>
      </c>
      <c r="D14" s="26">
        <v>1</v>
      </c>
      <c r="E14" s="29">
        <f>12/1.2</f>
        <v>10</v>
      </c>
      <c r="F14" s="31">
        <f t="shared" si="0"/>
        <v>10</v>
      </c>
      <c r="H14" s="42"/>
      <c r="I14" s="42"/>
      <c r="K14" s="42">
        <v>0</v>
      </c>
      <c r="L14" s="44">
        <f t="shared" si="1"/>
        <v>0</v>
      </c>
    </row>
    <row r="15" spans="1:12" s="30" customFormat="1">
      <c r="A15" s="32">
        <f t="shared" si="2"/>
        <v>10</v>
      </c>
      <c r="B15" s="33" t="s">
        <v>258</v>
      </c>
      <c r="C15" s="33" t="s">
        <v>51</v>
      </c>
      <c r="D15" s="26">
        <v>1</v>
      </c>
      <c r="E15" s="29">
        <f>41/1.2</f>
        <v>34.166666666666671</v>
      </c>
      <c r="F15" s="31">
        <f t="shared" si="0"/>
        <v>34.166666666666671</v>
      </c>
      <c r="H15" s="42"/>
      <c r="I15" s="42"/>
      <c r="K15" s="42">
        <v>0</v>
      </c>
      <c r="L15" s="44">
        <f t="shared" si="1"/>
        <v>0</v>
      </c>
    </row>
    <row r="16" spans="1:12" s="30" customFormat="1">
      <c r="A16" s="32">
        <f t="shared" si="2"/>
        <v>11</v>
      </c>
      <c r="B16" s="33" t="s">
        <v>54</v>
      </c>
      <c r="C16" s="33" t="s">
        <v>55</v>
      </c>
      <c r="D16" s="26">
        <v>2</v>
      </c>
      <c r="E16" s="29">
        <f>65/1.2</f>
        <v>54.166666666666671</v>
      </c>
      <c r="F16" s="31">
        <f t="shared" si="0"/>
        <v>108.33333333333334</v>
      </c>
      <c r="H16" s="42"/>
      <c r="I16" s="42"/>
      <c r="K16" s="42">
        <v>0</v>
      </c>
      <c r="L16" s="44">
        <f t="shared" si="1"/>
        <v>0</v>
      </c>
    </row>
    <row r="17" spans="1:12" s="30" customFormat="1">
      <c r="A17" s="32">
        <f t="shared" si="2"/>
        <v>12</v>
      </c>
      <c r="B17" s="33" t="s">
        <v>56</v>
      </c>
      <c r="C17" s="33" t="s">
        <v>51</v>
      </c>
      <c r="D17" s="26">
        <v>2</v>
      </c>
      <c r="E17" s="29">
        <f>21/1.2</f>
        <v>17.5</v>
      </c>
      <c r="F17" s="31">
        <f t="shared" si="0"/>
        <v>35</v>
      </c>
      <c r="H17" s="42"/>
      <c r="I17" s="42"/>
      <c r="K17" s="42">
        <v>0</v>
      </c>
      <c r="L17" s="44">
        <f t="shared" si="1"/>
        <v>0</v>
      </c>
    </row>
    <row r="18" spans="1:12" s="30" customFormat="1">
      <c r="A18" s="32">
        <f t="shared" si="2"/>
        <v>13</v>
      </c>
      <c r="B18" s="33" t="s">
        <v>57</v>
      </c>
      <c r="C18" s="33" t="s">
        <v>58</v>
      </c>
      <c r="D18" s="26">
        <v>2</v>
      </c>
      <c r="E18" s="29">
        <v>70</v>
      </c>
      <c r="F18" s="31">
        <f t="shared" si="0"/>
        <v>140</v>
      </c>
      <c r="H18" s="42"/>
      <c r="I18" s="42"/>
      <c r="K18" s="42">
        <v>0</v>
      </c>
      <c r="L18" s="44">
        <f t="shared" si="1"/>
        <v>0</v>
      </c>
    </row>
    <row r="19" spans="1:12" s="30" customFormat="1">
      <c r="A19" s="32">
        <f t="shared" si="2"/>
        <v>14</v>
      </c>
      <c r="B19" s="33" t="s">
        <v>59</v>
      </c>
      <c r="C19" s="33" t="s">
        <v>60</v>
      </c>
      <c r="D19" s="26">
        <v>2</v>
      </c>
      <c r="E19" s="29">
        <v>70</v>
      </c>
      <c r="F19" s="31">
        <f t="shared" si="0"/>
        <v>140</v>
      </c>
      <c r="H19" s="42"/>
      <c r="I19" s="42"/>
      <c r="K19" s="42">
        <v>0</v>
      </c>
      <c r="L19" s="44">
        <f t="shared" si="1"/>
        <v>0</v>
      </c>
    </row>
    <row r="20" spans="1:12" s="30" customFormat="1">
      <c r="A20" s="32">
        <f t="shared" si="2"/>
        <v>15</v>
      </c>
      <c r="B20" s="33" t="s">
        <v>63</v>
      </c>
      <c r="C20" s="33" t="s">
        <v>61</v>
      </c>
      <c r="D20" s="26">
        <v>4</v>
      </c>
      <c r="E20" s="29">
        <v>202</v>
      </c>
      <c r="F20" s="31">
        <f t="shared" si="0"/>
        <v>808</v>
      </c>
      <c r="H20" s="42"/>
      <c r="I20" s="42"/>
      <c r="K20" s="42">
        <v>0</v>
      </c>
      <c r="L20" s="44">
        <f t="shared" si="1"/>
        <v>0</v>
      </c>
    </row>
    <row r="21" spans="1:12" s="30" customFormat="1">
      <c r="A21" s="32">
        <f t="shared" si="2"/>
        <v>16</v>
      </c>
      <c r="B21" s="33" t="s">
        <v>64</v>
      </c>
      <c r="C21" s="33" t="s">
        <v>62</v>
      </c>
      <c r="D21" s="26">
        <v>4</v>
      </c>
      <c r="E21" s="29">
        <v>200</v>
      </c>
      <c r="F21" s="31">
        <f t="shared" si="0"/>
        <v>800</v>
      </c>
      <c r="H21" s="42"/>
      <c r="I21" s="42"/>
      <c r="K21" s="42">
        <v>0</v>
      </c>
      <c r="L21" s="44">
        <f t="shared" si="1"/>
        <v>0</v>
      </c>
    </row>
    <row r="22" spans="1:12" s="30" customFormat="1">
      <c r="A22" s="32"/>
      <c r="B22" s="33"/>
      <c r="C22" s="33"/>
      <c r="D22" s="26"/>
      <c r="E22" s="29"/>
      <c r="F22" s="31"/>
      <c r="H22" s="42"/>
      <c r="I22" s="42"/>
      <c r="K22" s="42"/>
      <c r="L22" s="44"/>
    </row>
    <row r="23" spans="1:12" s="30" customFormat="1">
      <c r="A23" s="32">
        <f>A21+1</f>
        <v>17</v>
      </c>
      <c r="B23" s="33" t="s">
        <v>18</v>
      </c>
      <c r="C23" s="33" t="s">
        <v>19</v>
      </c>
      <c r="D23" s="26">
        <v>8</v>
      </c>
      <c r="E23" s="29">
        <f>1.3/1.2</f>
        <v>1.0833333333333335</v>
      </c>
      <c r="F23" s="31">
        <f t="shared" si="0"/>
        <v>8.6666666666666679</v>
      </c>
      <c r="H23" s="42"/>
      <c r="I23" s="42"/>
      <c r="K23" s="42">
        <v>16</v>
      </c>
      <c r="L23" s="44">
        <f t="shared" ref="L23:L29" si="3">E23*K23</f>
        <v>17.333333333333336</v>
      </c>
    </row>
    <row r="24" spans="1:12" s="30" customFormat="1">
      <c r="A24" s="32">
        <f t="shared" ref="A24:A29" si="4">A23+1</f>
        <v>18</v>
      </c>
      <c r="B24" s="33" t="s">
        <v>20</v>
      </c>
      <c r="C24" s="33" t="s">
        <v>19</v>
      </c>
      <c r="D24" s="26">
        <v>2</v>
      </c>
      <c r="E24" s="29">
        <f>0.66/1.2</f>
        <v>0.55000000000000004</v>
      </c>
      <c r="F24" s="31">
        <f t="shared" si="0"/>
        <v>1.1000000000000001</v>
      </c>
      <c r="H24" s="42"/>
      <c r="I24" s="42"/>
      <c r="K24" s="42">
        <v>4</v>
      </c>
      <c r="L24" s="44">
        <f t="shared" si="3"/>
        <v>2.2000000000000002</v>
      </c>
    </row>
    <row r="25" spans="1:12" s="30" customFormat="1">
      <c r="A25" s="32">
        <f t="shared" si="4"/>
        <v>19</v>
      </c>
      <c r="B25" s="33" t="s">
        <v>21</v>
      </c>
      <c r="C25" s="33" t="s">
        <v>19</v>
      </c>
      <c r="D25" s="26">
        <v>2</v>
      </c>
      <c r="E25" s="29">
        <f>1.15/1.2</f>
        <v>0.95833333333333326</v>
      </c>
      <c r="F25" s="31">
        <f t="shared" si="0"/>
        <v>1.9166666666666665</v>
      </c>
      <c r="H25" s="42"/>
      <c r="I25" s="42"/>
      <c r="K25" s="42">
        <v>4</v>
      </c>
      <c r="L25" s="44">
        <f t="shared" si="3"/>
        <v>3.833333333333333</v>
      </c>
    </row>
    <row r="26" spans="1:12" s="30" customFormat="1">
      <c r="A26" s="32">
        <f t="shared" si="4"/>
        <v>20</v>
      </c>
      <c r="B26" s="33" t="s">
        <v>66</v>
      </c>
      <c r="C26" s="33" t="s">
        <v>71</v>
      </c>
      <c r="D26" s="26">
        <v>2</v>
      </c>
      <c r="E26" s="29">
        <v>8.5</v>
      </c>
      <c r="F26" s="31">
        <f t="shared" si="0"/>
        <v>17</v>
      </c>
      <c r="H26" s="42"/>
      <c r="I26" s="42"/>
      <c r="K26" s="42">
        <v>4</v>
      </c>
      <c r="L26" s="44">
        <f t="shared" si="3"/>
        <v>34</v>
      </c>
    </row>
    <row r="27" spans="1:12" s="30" customFormat="1">
      <c r="A27" s="32">
        <f t="shared" si="4"/>
        <v>21</v>
      </c>
      <c r="B27" s="33" t="s">
        <v>24</v>
      </c>
      <c r="C27" s="33" t="s">
        <v>25</v>
      </c>
      <c r="D27" s="26">
        <v>4</v>
      </c>
      <c r="E27" s="29">
        <f>1.45/1.2</f>
        <v>1.2083333333333333</v>
      </c>
      <c r="F27" s="31">
        <f t="shared" si="0"/>
        <v>4.833333333333333</v>
      </c>
      <c r="H27" s="42"/>
      <c r="I27" s="42"/>
      <c r="K27" s="42">
        <v>8</v>
      </c>
      <c r="L27" s="44">
        <f t="shared" si="3"/>
        <v>9.6666666666666661</v>
      </c>
    </row>
    <row r="28" spans="1:12" s="30" customFormat="1">
      <c r="A28" s="32">
        <f t="shared" si="4"/>
        <v>22</v>
      </c>
      <c r="B28" s="33" t="s">
        <v>22</v>
      </c>
      <c r="C28" s="33" t="s">
        <v>23</v>
      </c>
      <c r="D28" s="26">
        <v>2</v>
      </c>
      <c r="E28" s="29">
        <f>2.85/1.2</f>
        <v>2.375</v>
      </c>
      <c r="F28" s="31">
        <f t="shared" si="0"/>
        <v>4.75</v>
      </c>
      <c r="H28" s="42"/>
      <c r="I28" s="42"/>
      <c r="K28" s="42">
        <v>4</v>
      </c>
      <c r="L28" s="44">
        <f t="shared" si="3"/>
        <v>9.5</v>
      </c>
    </row>
    <row r="29" spans="1:12" s="30" customFormat="1">
      <c r="A29" s="32">
        <f t="shared" si="4"/>
        <v>23</v>
      </c>
      <c r="B29" s="33" t="s">
        <v>65</v>
      </c>
      <c r="C29" s="33" t="s">
        <v>280</v>
      </c>
      <c r="D29" s="26">
        <v>1</v>
      </c>
      <c r="E29" s="29">
        <v>12</v>
      </c>
      <c r="F29" s="31">
        <f t="shared" si="0"/>
        <v>12</v>
      </c>
      <c r="H29" s="42"/>
      <c r="I29" s="42"/>
      <c r="K29" s="42">
        <v>2</v>
      </c>
      <c r="L29" s="44">
        <f t="shared" si="3"/>
        <v>24</v>
      </c>
    </row>
    <row r="30" spans="1:12" s="30" customFormat="1">
      <c r="A30" s="32"/>
      <c r="B30" s="33"/>
      <c r="C30" s="33"/>
      <c r="D30" s="26"/>
      <c r="E30" s="29"/>
      <c r="F30" s="31"/>
      <c r="H30" s="42"/>
      <c r="I30" s="42"/>
      <c r="K30" s="42"/>
      <c r="L30" s="44"/>
    </row>
    <row r="31" spans="1:12" s="30" customFormat="1">
      <c r="A31" s="32">
        <f>A29+1</f>
        <v>24</v>
      </c>
      <c r="B31" s="33" t="s">
        <v>35</v>
      </c>
      <c r="C31" s="33" t="s">
        <v>26</v>
      </c>
      <c r="D31" s="26">
        <v>3</v>
      </c>
      <c r="E31" s="29">
        <f>21/1.2</f>
        <v>17.5</v>
      </c>
      <c r="F31" s="31">
        <f t="shared" ref="F31" si="5">D31*E31</f>
        <v>52.5</v>
      </c>
      <c r="H31" s="42"/>
      <c r="I31" s="42"/>
      <c r="K31" s="42">
        <v>6</v>
      </c>
      <c r="L31" s="44">
        <f>E31*K31</f>
        <v>105</v>
      </c>
    </row>
    <row r="32" spans="1:12" s="30" customFormat="1">
      <c r="A32" s="32"/>
      <c r="B32" s="33"/>
      <c r="C32" s="33"/>
      <c r="D32" s="26"/>
      <c r="E32" s="29"/>
      <c r="F32" s="31"/>
      <c r="H32" s="42"/>
      <c r="I32" s="42"/>
      <c r="K32" s="42"/>
      <c r="L32" s="44"/>
    </row>
    <row r="33" spans="1:12" s="30" customFormat="1">
      <c r="A33" s="32">
        <f>A31+1</f>
        <v>25</v>
      </c>
      <c r="B33" s="33" t="s">
        <v>72</v>
      </c>
      <c r="C33" s="33" t="s">
        <v>73</v>
      </c>
      <c r="D33" s="26">
        <v>1</v>
      </c>
      <c r="E33" s="29">
        <f>53/1.2</f>
        <v>44.166666666666671</v>
      </c>
      <c r="F33" s="31">
        <f t="shared" si="0"/>
        <v>44.166666666666671</v>
      </c>
      <c r="H33" s="42"/>
      <c r="I33" s="42"/>
      <c r="K33" s="42">
        <v>0</v>
      </c>
      <c r="L33" s="44">
        <f>E33*K33</f>
        <v>0</v>
      </c>
    </row>
    <row r="34" spans="1:12" s="30" customFormat="1">
      <c r="A34" s="32"/>
      <c r="B34" s="33"/>
      <c r="C34" s="33"/>
      <c r="D34" s="26"/>
      <c r="E34" s="29"/>
      <c r="F34" s="31"/>
      <c r="H34" s="42"/>
      <c r="I34" s="42"/>
      <c r="K34" s="42"/>
      <c r="L34" s="44"/>
    </row>
    <row r="35" spans="1:12" s="30" customFormat="1">
      <c r="A35" s="32">
        <f>A33+1</f>
        <v>26</v>
      </c>
      <c r="B35" s="33" t="s">
        <v>199</v>
      </c>
      <c r="C35" s="33" t="s">
        <v>281</v>
      </c>
      <c r="D35" s="26">
        <v>3</v>
      </c>
      <c r="E35" s="29">
        <f t="shared" ref="E35:E50" si="6">0.2/1.2</f>
        <v>0.16666666666666669</v>
      </c>
      <c r="F35" s="31">
        <f t="shared" ref="F35:F58" si="7">D35*E35</f>
        <v>0.5</v>
      </c>
      <c r="H35" s="42"/>
      <c r="I35" s="42"/>
      <c r="K35" s="42">
        <v>0</v>
      </c>
      <c r="L35" s="44">
        <f t="shared" ref="L35:L50" si="8">E35*K35</f>
        <v>0</v>
      </c>
    </row>
    <row r="36" spans="1:12" s="30" customFormat="1">
      <c r="A36" s="32">
        <f t="shared" ref="A36:A50" si="9">A35+1</f>
        <v>27</v>
      </c>
      <c r="B36" s="33" t="s">
        <v>121</v>
      </c>
      <c r="C36" s="33" t="s">
        <v>122</v>
      </c>
      <c r="D36" s="26">
        <v>1</v>
      </c>
      <c r="E36" s="29">
        <f t="shared" si="6"/>
        <v>0.16666666666666669</v>
      </c>
      <c r="F36" s="31">
        <f t="shared" si="7"/>
        <v>0.16666666666666669</v>
      </c>
      <c r="H36" s="42"/>
      <c r="I36" s="42"/>
      <c r="K36" s="42">
        <v>0</v>
      </c>
      <c r="L36" s="44">
        <f t="shared" si="8"/>
        <v>0</v>
      </c>
    </row>
    <row r="37" spans="1:12" s="30" customFormat="1">
      <c r="A37" s="32">
        <f t="shared" si="9"/>
        <v>28</v>
      </c>
      <c r="B37" s="33" t="s">
        <v>124</v>
      </c>
      <c r="C37" s="33" t="s">
        <v>125</v>
      </c>
      <c r="D37" s="26">
        <v>1</v>
      </c>
      <c r="E37" s="29">
        <f t="shared" si="6"/>
        <v>0.16666666666666669</v>
      </c>
      <c r="F37" s="31">
        <f t="shared" si="7"/>
        <v>0.16666666666666669</v>
      </c>
      <c r="H37" s="42"/>
      <c r="I37" s="42"/>
      <c r="K37" s="42">
        <v>0</v>
      </c>
      <c r="L37" s="44">
        <f t="shared" si="8"/>
        <v>0</v>
      </c>
    </row>
    <row r="38" spans="1:12" s="30" customFormat="1">
      <c r="A38" s="32">
        <f t="shared" si="9"/>
        <v>29</v>
      </c>
      <c r="B38" s="33" t="s">
        <v>126</v>
      </c>
      <c r="C38" s="33" t="s">
        <v>127</v>
      </c>
      <c r="D38" s="26">
        <v>5</v>
      </c>
      <c r="E38" s="29">
        <f t="shared" si="6"/>
        <v>0.16666666666666669</v>
      </c>
      <c r="F38" s="31">
        <f t="shared" si="7"/>
        <v>0.83333333333333348</v>
      </c>
      <c r="H38" s="42"/>
      <c r="I38" s="42"/>
      <c r="K38" s="42">
        <v>0</v>
      </c>
      <c r="L38" s="44">
        <f t="shared" si="8"/>
        <v>0</v>
      </c>
    </row>
    <row r="39" spans="1:12" s="30" customFormat="1">
      <c r="A39" s="32">
        <f t="shared" si="9"/>
        <v>30</v>
      </c>
      <c r="B39" s="33" t="s">
        <v>128</v>
      </c>
      <c r="C39" s="33" t="s">
        <v>129</v>
      </c>
      <c r="D39" s="26">
        <v>1</v>
      </c>
      <c r="E39" s="29">
        <f t="shared" si="6"/>
        <v>0.16666666666666669</v>
      </c>
      <c r="F39" s="31">
        <f t="shared" si="7"/>
        <v>0.16666666666666669</v>
      </c>
      <c r="H39" s="42"/>
      <c r="I39" s="42"/>
      <c r="K39" s="42">
        <v>0</v>
      </c>
      <c r="L39" s="44">
        <f t="shared" si="8"/>
        <v>0</v>
      </c>
    </row>
    <row r="40" spans="1:12" s="30" customFormat="1">
      <c r="A40" s="32">
        <f t="shared" si="9"/>
        <v>31</v>
      </c>
      <c r="B40" s="33" t="s">
        <v>117</v>
      </c>
      <c r="C40" s="33" t="s">
        <v>118</v>
      </c>
      <c r="D40" s="26">
        <v>3</v>
      </c>
      <c r="E40" s="29">
        <f t="shared" si="6"/>
        <v>0.16666666666666669</v>
      </c>
      <c r="F40" s="31">
        <f t="shared" si="7"/>
        <v>0.5</v>
      </c>
      <c r="H40" s="42"/>
      <c r="I40" s="42"/>
      <c r="K40" s="42">
        <v>0</v>
      </c>
      <c r="L40" s="44">
        <f t="shared" si="8"/>
        <v>0</v>
      </c>
    </row>
    <row r="41" spans="1:12" s="30" customFormat="1">
      <c r="A41" s="32">
        <f t="shared" si="9"/>
        <v>32</v>
      </c>
      <c r="B41" s="33" t="s">
        <v>119</v>
      </c>
      <c r="C41" s="33" t="s">
        <v>120</v>
      </c>
      <c r="D41" s="26">
        <v>1</v>
      </c>
      <c r="E41" s="29">
        <f t="shared" si="6"/>
        <v>0.16666666666666669</v>
      </c>
      <c r="F41" s="31">
        <f t="shared" si="7"/>
        <v>0.16666666666666669</v>
      </c>
      <c r="H41" s="42"/>
      <c r="I41" s="42"/>
      <c r="K41" s="42">
        <v>0</v>
      </c>
      <c r="L41" s="44">
        <f t="shared" si="8"/>
        <v>0</v>
      </c>
    </row>
    <row r="42" spans="1:12" s="30" customFormat="1">
      <c r="A42" s="32">
        <f t="shared" si="9"/>
        <v>33</v>
      </c>
      <c r="B42" s="33" t="s">
        <v>114</v>
      </c>
      <c r="C42" s="33" t="s">
        <v>113</v>
      </c>
      <c r="D42" s="26">
        <v>2</v>
      </c>
      <c r="E42" s="29">
        <f t="shared" si="6"/>
        <v>0.16666666666666669</v>
      </c>
      <c r="F42" s="31">
        <f t="shared" si="7"/>
        <v>0.33333333333333337</v>
      </c>
      <c r="H42" s="42"/>
      <c r="I42" s="42"/>
      <c r="K42" s="42">
        <v>0</v>
      </c>
      <c r="L42" s="44">
        <f t="shared" si="8"/>
        <v>0</v>
      </c>
    </row>
    <row r="43" spans="1:12" s="30" customFormat="1">
      <c r="A43" s="32">
        <f t="shared" si="9"/>
        <v>34</v>
      </c>
      <c r="B43" s="33" t="s">
        <v>109</v>
      </c>
      <c r="C43" s="33" t="s">
        <v>110</v>
      </c>
      <c r="D43" s="26">
        <v>2</v>
      </c>
      <c r="E43" s="29">
        <f t="shared" si="6"/>
        <v>0.16666666666666669</v>
      </c>
      <c r="F43" s="31">
        <f t="shared" si="7"/>
        <v>0.33333333333333337</v>
      </c>
      <c r="H43" s="42"/>
      <c r="I43" s="42"/>
      <c r="K43" s="42">
        <v>0</v>
      </c>
      <c r="L43" s="44">
        <f t="shared" si="8"/>
        <v>0</v>
      </c>
    </row>
    <row r="44" spans="1:12" s="30" customFormat="1">
      <c r="A44" s="32">
        <f t="shared" si="9"/>
        <v>35</v>
      </c>
      <c r="B44" s="33" t="s">
        <v>111</v>
      </c>
      <c r="C44" s="33" t="s">
        <v>112</v>
      </c>
      <c r="D44" s="26">
        <v>3</v>
      </c>
      <c r="E44" s="29">
        <f t="shared" si="6"/>
        <v>0.16666666666666669</v>
      </c>
      <c r="F44" s="31">
        <f t="shared" si="7"/>
        <v>0.5</v>
      </c>
      <c r="H44" s="42"/>
      <c r="I44" s="42"/>
      <c r="K44" s="42">
        <v>0</v>
      </c>
      <c r="L44" s="44">
        <f t="shared" si="8"/>
        <v>0</v>
      </c>
    </row>
    <row r="45" spans="1:12" s="30" customFormat="1">
      <c r="A45" s="32">
        <f t="shared" si="9"/>
        <v>36</v>
      </c>
      <c r="B45" s="33" t="s">
        <v>107</v>
      </c>
      <c r="C45" s="33" t="s">
        <v>108</v>
      </c>
      <c r="D45" s="26">
        <v>2</v>
      </c>
      <c r="E45" s="29">
        <f t="shared" si="6"/>
        <v>0.16666666666666669</v>
      </c>
      <c r="F45" s="31">
        <f t="shared" si="7"/>
        <v>0.33333333333333337</v>
      </c>
      <c r="H45" s="42"/>
      <c r="I45" s="42"/>
      <c r="K45" s="42">
        <v>0</v>
      </c>
      <c r="L45" s="44">
        <f t="shared" si="8"/>
        <v>0</v>
      </c>
    </row>
    <row r="46" spans="1:12" s="30" customFormat="1">
      <c r="A46" s="32">
        <f t="shared" si="9"/>
        <v>37</v>
      </c>
      <c r="B46" s="33" t="s">
        <v>106</v>
      </c>
      <c r="C46" s="33" t="s">
        <v>105</v>
      </c>
      <c r="D46" s="26">
        <v>4</v>
      </c>
      <c r="E46" s="29">
        <f t="shared" si="6"/>
        <v>0.16666666666666669</v>
      </c>
      <c r="F46" s="31">
        <f t="shared" si="7"/>
        <v>0.66666666666666674</v>
      </c>
      <c r="H46" s="42"/>
      <c r="I46" s="42"/>
      <c r="K46" s="42">
        <v>0</v>
      </c>
      <c r="L46" s="44">
        <f t="shared" si="8"/>
        <v>0</v>
      </c>
    </row>
    <row r="47" spans="1:12" s="30" customFormat="1">
      <c r="A47" s="32">
        <f t="shared" si="9"/>
        <v>38</v>
      </c>
      <c r="B47" s="33" t="s">
        <v>115</v>
      </c>
      <c r="C47" s="33" t="s">
        <v>116</v>
      </c>
      <c r="D47" s="26">
        <v>1</v>
      </c>
      <c r="E47" s="29">
        <f t="shared" si="6"/>
        <v>0.16666666666666669</v>
      </c>
      <c r="F47" s="31">
        <f t="shared" si="7"/>
        <v>0.16666666666666669</v>
      </c>
      <c r="H47" s="42"/>
      <c r="I47" s="42"/>
      <c r="K47" s="42">
        <v>0</v>
      </c>
      <c r="L47" s="44">
        <f t="shared" si="8"/>
        <v>0</v>
      </c>
    </row>
    <row r="48" spans="1:12" s="30" customFormat="1">
      <c r="A48" s="32">
        <f t="shared" si="9"/>
        <v>39</v>
      </c>
      <c r="B48" s="33" t="s">
        <v>103</v>
      </c>
      <c r="C48" s="33" t="s">
        <v>104</v>
      </c>
      <c r="D48" s="26">
        <v>4</v>
      </c>
      <c r="E48" s="29">
        <f t="shared" si="6"/>
        <v>0.16666666666666669</v>
      </c>
      <c r="F48" s="31">
        <f t="shared" si="7"/>
        <v>0.66666666666666674</v>
      </c>
      <c r="H48" s="42"/>
      <c r="I48" s="42"/>
      <c r="K48" s="42">
        <v>0</v>
      </c>
      <c r="L48" s="44">
        <f t="shared" si="8"/>
        <v>0</v>
      </c>
    </row>
    <row r="49" spans="1:12" s="30" customFormat="1">
      <c r="A49" s="32">
        <f t="shared" si="9"/>
        <v>40</v>
      </c>
      <c r="B49" s="33" t="s">
        <v>38</v>
      </c>
      <c r="C49" s="33" t="s">
        <v>37</v>
      </c>
      <c r="D49" s="26">
        <v>4</v>
      </c>
      <c r="E49" s="29">
        <f t="shared" si="6"/>
        <v>0.16666666666666669</v>
      </c>
      <c r="F49" s="31">
        <f t="shared" si="7"/>
        <v>0.66666666666666674</v>
      </c>
      <c r="H49" s="42"/>
      <c r="I49" s="42"/>
      <c r="K49" s="42">
        <v>0</v>
      </c>
      <c r="L49" s="44">
        <f t="shared" si="8"/>
        <v>0</v>
      </c>
    </row>
    <row r="50" spans="1:12" s="30" customFormat="1">
      <c r="A50" s="32">
        <f t="shared" si="9"/>
        <v>41</v>
      </c>
      <c r="B50" s="33" t="s">
        <v>101</v>
      </c>
      <c r="C50" s="33" t="s">
        <v>102</v>
      </c>
      <c r="D50" s="26">
        <v>1</v>
      </c>
      <c r="E50" s="29">
        <f t="shared" si="6"/>
        <v>0.16666666666666669</v>
      </c>
      <c r="F50" s="31">
        <f t="shared" si="7"/>
        <v>0.16666666666666669</v>
      </c>
      <c r="H50" s="42"/>
      <c r="I50" s="42"/>
      <c r="K50" s="42">
        <v>0</v>
      </c>
      <c r="L50" s="44">
        <f t="shared" si="8"/>
        <v>0</v>
      </c>
    </row>
    <row r="51" spans="1:12" s="30" customFormat="1">
      <c r="A51" s="32"/>
      <c r="B51" s="33"/>
      <c r="C51" s="33"/>
      <c r="D51" s="26"/>
      <c r="E51" s="29"/>
      <c r="F51" s="31">
        <f t="shared" si="7"/>
        <v>0</v>
      </c>
      <c r="H51" s="42"/>
      <c r="I51" s="42"/>
      <c r="K51" s="42"/>
      <c r="L51" s="44"/>
    </row>
    <row r="52" spans="1:12" s="30" customFormat="1">
      <c r="A52" s="32">
        <f>A50+1</f>
        <v>42</v>
      </c>
      <c r="B52" s="33" t="s">
        <v>74</v>
      </c>
      <c r="C52" s="33" t="s">
        <v>75</v>
      </c>
      <c r="D52" s="26">
        <v>4</v>
      </c>
      <c r="E52" s="29">
        <f t="shared" ref="E52:E55" si="10">0.43/1.2</f>
        <v>0.35833333333333334</v>
      </c>
      <c r="F52" s="31">
        <f t="shared" si="7"/>
        <v>1.4333333333333333</v>
      </c>
      <c r="H52" s="42"/>
      <c r="I52" s="42"/>
      <c r="K52" s="42">
        <v>0</v>
      </c>
      <c r="L52" s="44">
        <f t="shared" ref="L52:L57" si="11">E52*K52</f>
        <v>0</v>
      </c>
    </row>
    <row r="53" spans="1:12" s="30" customFormat="1">
      <c r="A53" s="32">
        <f t="shared" ref="A53:A57" si="12">A52+1</f>
        <v>43</v>
      </c>
      <c r="B53" s="33" t="s">
        <v>88</v>
      </c>
      <c r="C53" s="33" t="s">
        <v>89</v>
      </c>
      <c r="D53" s="26">
        <v>2</v>
      </c>
      <c r="E53" s="29">
        <f t="shared" si="10"/>
        <v>0.35833333333333334</v>
      </c>
      <c r="F53" s="31">
        <f t="shared" si="7"/>
        <v>0.71666666666666667</v>
      </c>
      <c r="H53" s="42"/>
      <c r="I53" s="42"/>
      <c r="K53" s="42">
        <v>0</v>
      </c>
      <c r="L53" s="44">
        <f t="shared" si="11"/>
        <v>0</v>
      </c>
    </row>
    <row r="54" spans="1:12" s="30" customFormat="1">
      <c r="A54" s="32">
        <f t="shared" si="12"/>
        <v>44</v>
      </c>
      <c r="B54" s="33" t="s">
        <v>84</v>
      </c>
      <c r="C54" s="33" t="s">
        <v>85</v>
      </c>
      <c r="D54" s="26">
        <v>1</v>
      </c>
      <c r="E54" s="29">
        <f t="shared" si="10"/>
        <v>0.35833333333333334</v>
      </c>
      <c r="F54" s="31">
        <f t="shared" si="7"/>
        <v>0.35833333333333334</v>
      </c>
      <c r="H54" s="42"/>
      <c r="I54" s="42"/>
      <c r="K54" s="42">
        <v>0</v>
      </c>
      <c r="L54" s="44">
        <f t="shared" si="11"/>
        <v>0</v>
      </c>
    </row>
    <row r="55" spans="1:12" s="30" customFormat="1">
      <c r="A55" s="32">
        <f t="shared" si="12"/>
        <v>45</v>
      </c>
      <c r="B55" s="33" t="s">
        <v>86</v>
      </c>
      <c r="C55" s="33" t="s">
        <v>87</v>
      </c>
      <c r="D55" s="26">
        <v>1</v>
      </c>
      <c r="E55" s="29">
        <f t="shared" si="10"/>
        <v>0.35833333333333334</v>
      </c>
      <c r="F55" s="31">
        <f t="shared" si="7"/>
        <v>0.35833333333333334</v>
      </c>
      <c r="H55" s="42"/>
      <c r="I55" s="42"/>
      <c r="K55" s="42">
        <v>0</v>
      </c>
      <c r="L55" s="44">
        <f t="shared" si="11"/>
        <v>0</v>
      </c>
    </row>
    <row r="56" spans="1:12" s="30" customFormat="1">
      <c r="A56" s="32">
        <f t="shared" si="12"/>
        <v>46</v>
      </c>
      <c r="B56" s="33" t="s">
        <v>90</v>
      </c>
      <c r="C56" s="33" t="s">
        <v>91</v>
      </c>
      <c r="D56" s="26">
        <v>2</v>
      </c>
      <c r="E56" s="29">
        <f>0.43/1.2</f>
        <v>0.35833333333333334</v>
      </c>
      <c r="F56" s="31">
        <f t="shared" si="7"/>
        <v>0.71666666666666667</v>
      </c>
      <c r="H56" s="42"/>
      <c r="I56" s="42"/>
      <c r="K56" s="42">
        <v>0</v>
      </c>
      <c r="L56" s="44">
        <f t="shared" si="11"/>
        <v>0</v>
      </c>
    </row>
    <row r="57" spans="1:12" s="30" customFormat="1">
      <c r="A57" s="32">
        <f t="shared" si="12"/>
        <v>47</v>
      </c>
      <c r="B57" s="33" t="s">
        <v>92</v>
      </c>
      <c r="C57" s="33" t="s">
        <v>93</v>
      </c>
      <c r="D57" s="26">
        <v>1</v>
      </c>
      <c r="E57" s="29">
        <f>0.43/1.2</f>
        <v>0.35833333333333334</v>
      </c>
      <c r="F57" s="31">
        <f t="shared" si="7"/>
        <v>0.35833333333333334</v>
      </c>
      <c r="H57" s="42"/>
      <c r="I57" s="42"/>
      <c r="K57" s="42">
        <v>0</v>
      </c>
      <c r="L57" s="44">
        <f t="shared" si="11"/>
        <v>0</v>
      </c>
    </row>
    <row r="58" spans="1:12" s="30" customFormat="1">
      <c r="A58" s="32"/>
      <c r="B58" s="33"/>
      <c r="C58" s="33"/>
      <c r="D58" s="26"/>
      <c r="E58" s="29"/>
      <c r="F58" s="31">
        <f t="shared" si="7"/>
        <v>0</v>
      </c>
      <c r="H58" s="42"/>
      <c r="I58" s="42"/>
      <c r="K58" s="42"/>
      <c r="L58" s="44"/>
    </row>
    <row r="59" spans="1:12" s="30" customFormat="1">
      <c r="A59" s="32">
        <f>A57+1</f>
        <v>48</v>
      </c>
      <c r="B59" s="33" t="s">
        <v>68</v>
      </c>
      <c r="C59" s="24" t="s">
        <v>76</v>
      </c>
      <c r="D59" s="26">
        <v>4</v>
      </c>
      <c r="E59" s="29">
        <f>1.32/1.2</f>
        <v>1.1000000000000001</v>
      </c>
      <c r="F59" s="31">
        <f>D59*E59</f>
        <v>4.4000000000000004</v>
      </c>
      <c r="H59" s="42"/>
      <c r="I59" s="42"/>
      <c r="K59" s="42">
        <v>8</v>
      </c>
      <c r="L59" s="44">
        <f t="shared" ref="L59:L62" si="13">E59*K59</f>
        <v>8.8000000000000007</v>
      </c>
    </row>
    <row r="60" spans="1:12" s="30" customFormat="1">
      <c r="A60" s="32">
        <f t="shared" ref="A60" si="14">A59+1</f>
        <v>49</v>
      </c>
      <c r="B60" s="33" t="s">
        <v>69</v>
      </c>
      <c r="C60" s="24" t="s">
        <v>77</v>
      </c>
      <c r="D60" s="26">
        <v>2</v>
      </c>
      <c r="E60" s="29">
        <f>2.65/1.2</f>
        <v>2.2083333333333335</v>
      </c>
      <c r="F60" s="31">
        <f>D60*E60</f>
        <v>4.416666666666667</v>
      </c>
      <c r="H60" s="42"/>
      <c r="I60" s="42"/>
      <c r="K60" s="42">
        <v>0</v>
      </c>
      <c r="L60" s="44">
        <f t="shared" si="13"/>
        <v>0</v>
      </c>
    </row>
    <row r="61" spans="1:12" s="30" customFormat="1">
      <c r="A61" s="32">
        <f>A59+1</f>
        <v>49</v>
      </c>
      <c r="B61" s="33" t="s">
        <v>70</v>
      </c>
      <c r="C61" s="24" t="s">
        <v>78</v>
      </c>
      <c r="D61" s="26">
        <v>2</v>
      </c>
      <c r="E61" s="29">
        <f>1.38/1.2</f>
        <v>1.1499999999999999</v>
      </c>
      <c r="F61" s="31">
        <f>D61*E61</f>
        <v>2.2999999999999998</v>
      </c>
      <c r="H61" s="42"/>
      <c r="I61" s="42"/>
      <c r="K61" s="42">
        <v>4</v>
      </c>
      <c r="L61" s="44">
        <f t="shared" si="13"/>
        <v>4.5999999999999996</v>
      </c>
    </row>
    <row r="62" spans="1:12" s="30" customFormat="1">
      <c r="A62" s="32">
        <f>A60+1</f>
        <v>50</v>
      </c>
      <c r="B62" s="33" t="s">
        <v>30</v>
      </c>
      <c r="C62" s="24" t="s">
        <v>79</v>
      </c>
      <c r="D62" s="26">
        <v>1</v>
      </c>
      <c r="E62" s="29">
        <f>4.3/1.2</f>
        <v>3.5833333333333335</v>
      </c>
      <c r="F62" s="31">
        <f>D62*E62</f>
        <v>3.5833333333333335</v>
      </c>
      <c r="H62" s="42"/>
      <c r="I62" s="42"/>
      <c r="K62" s="42">
        <v>2</v>
      </c>
      <c r="L62" s="44">
        <f t="shared" si="13"/>
        <v>7.166666666666667</v>
      </c>
    </row>
    <row r="63" spans="1:12" s="30" customFormat="1">
      <c r="A63" s="32"/>
      <c r="B63" s="33"/>
      <c r="C63" s="33"/>
      <c r="D63" s="26"/>
      <c r="E63" s="29"/>
      <c r="F63" s="31">
        <f t="shared" ref="F63" si="15">D63*E63</f>
        <v>0</v>
      </c>
      <c r="H63" s="42"/>
      <c r="I63" s="42"/>
      <c r="K63" s="42"/>
      <c r="L63" s="44"/>
    </row>
    <row r="64" spans="1:12" s="30" customFormat="1">
      <c r="A64" s="32">
        <f>A62+1</f>
        <v>51</v>
      </c>
      <c r="B64" s="33" t="s">
        <v>67</v>
      </c>
      <c r="C64" s="24" t="s">
        <v>80</v>
      </c>
      <c r="D64" s="26">
        <v>16</v>
      </c>
      <c r="E64" s="29">
        <f>3.55/1.2</f>
        <v>2.9583333333333335</v>
      </c>
      <c r="F64" s="31">
        <f>D64*E64</f>
        <v>47.333333333333336</v>
      </c>
      <c r="H64" s="42"/>
      <c r="I64" s="42"/>
      <c r="K64" s="42">
        <v>32</v>
      </c>
      <c r="L64" s="44">
        <f>E64*K64</f>
        <v>94.666666666666671</v>
      </c>
    </row>
    <row r="65" spans="1:12" s="30" customFormat="1">
      <c r="A65" s="32"/>
      <c r="B65" s="33"/>
      <c r="C65" s="33"/>
      <c r="D65" s="26"/>
      <c r="E65" s="29"/>
      <c r="F65" s="31">
        <f t="shared" ref="F65:F66" si="16">D65*E65</f>
        <v>0</v>
      </c>
      <c r="H65" s="42"/>
      <c r="I65" s="42"/>
      <c r="K65" s="42"/>
      <c r="L65" s="44"/>
    </row>
    <row r="66" spans="1:12" s="30" customFormat="1">
      <c r="A66" s="32">
        <f>A64+1</f>
        <v>52</v>
      </c>
      <c r="B66" s="33" t="s">
        <v>94</v>
      </c>
      <c r="C66" s="33" t="s">
        <v>81</v>
      </c>
      <c r="D66" s="26">
        <v>2</v>
      </c>
      <c r="E66" s="29">
        <f>4.54/1.2</f>
        <v>3.7833333333333337</v>
      </c>
      <c r="F66" s="31">
        <f t="shared" si="16"/>
        <v>7.5666666666666673</v>
      </c>
      <c r="H66" s="42"/>
      <c r="I66" s="42"/>
      <c r="K66" s="42">
        <v>4</v>
      </c>
      <c r="L66" s="44">
        <f>E66*K66</f>
        <v>15.133333333333335</v>
      </c>
    </row>
    <row r="67" spans="1:12" s="30" customFormat="1">
      <c r="A67" s="32">
        <f t="shared" ref="A67:A68" si="17">A66+1</f>
        <v>53</v>
      </c>
      <c r="B67" s="33" t="s">
        <v>131</v>
      </c>
      <c r="C67" s="33" t="s">
        <v>82</v>
      </c>
      <c r="D67" s="26">
        <v>1</v>
      </c>
      <c r="E67" s="29">
        <f>4.54/1.2</f>
        <v>3.7833333333333337</v>
      </c>
      <c r="F67" s="31">
        <f t="shared" si="0"/>
        <v>3.7833333333333337</v>
      </c>
      <c r="H67" s="42"/>
      <c r="I67" s="42"/>
      <c r="K67" s="42">
        <v>2</v>
      </c>
      <c r="L67" s="44">
        <f t="shared" ref="L67:L68" si="18">E67*K67</f>
        <v>7.5666666666666673</v>
      </c>
    </row>
    <row r="68" spans="1:12" s="30" customFormat="1">
      <c r="A68" s="32">
        <f t="shared" si="17"/>
        <v>54</v>
      </c>
      <c r="B68" s="33" t="s">
        <v>95</v>
      </c>
      <c r="C68" s="33" t="s">
        <v>83</v>
      </c>
      <c r="D68" s="26">
        <v>2</v>
      </c>
      <c r="E68" s="29">
        <f>6.17/1.2</f>
        <v>5.1416666666666666</v>
      </c>
      <c r="F68" s="31">
        <f t="shared" si="0"/>
        <v>10.283333333333333</v>
      </c>
      <c r="H68" s="42"/>
      <c r="I68" s="42"/>
      <c r="K68" s="42">
        <v>4</v>
      </c>
      <c r="L68" s="44">
        <f t="shared" si="18"/>
        <v>20.566666666666666</v>
      </c>
    </row>
    <row r="69" spans="1:12" s="30" customFormat="1">
      <c r="A69" s="32"/>
      <c r="B69" s="33"/>
      <c r="C69" s="33"/>
      <c r="D69" s="26"/>
      <c r="E69" s="29"/>
      <c r="F69" s="31"/>
      <c r="H69" s="42"/>
      <c r="I69" s="42"/>
      <c r="K69" s="42"/>
      <c r="L69" s="44"/>
    </row>
    <row r="70" spans="1:12" s="30" customFormat="1">
      <c r="A70" s="32">
        <f>A68+1</f>
        <v>55</v>
      </c>
      <c r="B70" s="33" t="s">
        <v>299</v>
      </c>
      <c r="C70" s="33" t="s">
        <v>298</v>
      </c>
      <c r="D70" s="26">
        <v>1</v>
      </c>
      <c r="E70" s="29">
        <f>9.1/1.2</f>
        <v>7.583333333333333</v>
      </c>
      <c r="F70" s="31">
        <f t="shared" ref="F70" si="19">D70*E70</f>
        <v>7.583333333333333</v>
      </c>
      <c r="H70" s="42"/>
      <c r="I70" s="42"/>
      <c r="K70" s="42">
        <v>2</v>
      </c>
      <c r="L70" s="44">
        <f t="shared" ref="L70" si="20">E70*K70</f>
        <v>15.166666666666666</v>
      </c>
    </row>
    <row r="71" spans="1:12" s="30" customFormat="1">
      <c r="A71" s="32">
        <f t="shared" ref="A71:A78" si="21">A70+1</f>
        <v>56</v>
      </c>
      <c r="B71" s="33" t="s">
        <v>282</v>
      </c>
      <c r="C71" s="33" t="s">
        <v>283</v>
      </c>
      <c r="D71" s="26">
        <v>2</v>
      </c>
      <c r="E71" s="29">
        <f>9.1/1.2</f>
        <v>7.583333333333333</v>
      </c>
      <c r="F71" s="31">
        <f t="shared" ref="F71:F85" si="22">D71*E71</f>
        <v>15.166666666666666</v>
      </c>
      <c r="H71" s="42"/>
      <c r="I71" s="42"/>
      <c r="K71" s="42">
        <v>4</v>
      </c>
      <c r="L71" s="44">
        <f t="shared" ref="L71:L78" si="23">E71*K71</f>
        <v>30.333333333333332</v>
      </c>
    </row>
    <row r="72" spans="1:12" s="30" customFormat="1">
      <c r="A72" s="32">
        <f t="shared" si="21"/>
        <v>57</v>
      </c>
      <c r="B72" s="33" t="s">
        <v>146</v>
      </c>
      <c r="C72" s="33" t="s">
        <v>284</v>
      </c>
      <c r="D72" s="26">
        <v>2</v>
      </c>
      <c r="E72" s="29">
        <f>8.44/1.2</f>
        <v>7.0333333333333332</v>
      </c>
      <c r="F72" s="31">
        <f t="shared" si="22"/>
        <v>14.066666666666666</v>
      </c>
      <c r="H72" s="42"/>
      <c r="I72" s="42"/>
      <c r="K72" s="42">
        <v>4</v>
      </c>
      <c r="L72" s="44">
        <f t="shared" si="23"/>
        <v>28.133333333333333</v>
      </c>
    </row>
    <row r="73" spans="1:12" s="30" customFormat="1">
      <c r="A73" s="32">
        <f t="shared" si="21"/>
        <v>58</v>
      </c>
      <c r="B73" s="33" t="s">
        <v>154</v>
      </c>
      <c r="C73" s="33" t="s">
        <v>285</v>
      </c>
      <c r="D73" s="26">
        <v>1</v>
      </c>
      <c r="E73" s="29">
        <v>1.5</v>
      </c>
      <c r="F73" s="31">
        <f t="shared" si="22"/>
        <v>1.5</v>
      </c>
      <c r="H73" s="42"/>
      <c r="I73" s="42"/>
      <c r="K73" s="42">
        <v>2</v>
      </c>
      <c r="L73" s="44">
        <f t="shared" si="23"/>
        <v>3</v>
      </c>
    </row>
    <row r="74" spans="1:12" s="30" customFormat="1">
      <c r="A74" s="32">
        <f t="shared" si="21"/>
        <v>59</v>
      </c>
      <c r="B74" s="33" t="s">
        <v>163</v>
      </c>
      <c r="C74" s="33" t="s">
        <v>286</v>
      </c>
      <c r="D74" s="26">
        <v>1</v>
      </c>
      <c r="E74" s="29">
        <v>1.5</v>
      </c>
      <c r="F74" s="31">
        <f t="shared" si="22"/>
        <v>1.5</v>
      </c>
      <c r="H74" s="42"/>
      <c r="I74" s="42"/>
      <c r="K74" s="42">
        <v>2</v>
      </c>
      <c r="L74" s="44">
        <f t="shared" si="23"/>
        <v>3</v>
      </c>
    </row>
    <row r="75" spans="1:12" s="30" customFormat="1">
      <c r="A75" s="32">
        <f t="shared" si="21"/>
        <v>60</v>
      </c>
      <c r="B75" s="33" t="s">
        <v>169</v>
      </c>
      <c r="C75" s="33" t="s">
        <v>287</v>
      </c>
      <c r="D75" s="26">
        <v>2</v>
      </c>
      <c r="E75" s="29">
        <v>1.5</v>
      </c>
      <c r="F75" s="31">
        <f t="shared" si="22"/>
        <v>3</v>
      </c>
      <c r="H75" s="42"/>
      <c r="I75" s="42"/>
      <c r="K75" s="42">
        <v>0</v>
      </c>
      <c r="L75" s="44">
        <f t="shared" si="23"/>
        <v>0</v>
      </c>
    </row>
    <row r="76" spans="1:12" s="30" customFormat="1">
      <c r="A76" s="32">
        <f t="shared" si="21"/>
        <v>61</v>
      </c>
      <c r="B76" s="33" t="s">
        <v>149</v>
      </c>
      <c r="C76" s="33" t="s">
        <v>288</v>
      </c>
      <c r="D76" s="26">
        <v>6</v>
      </c>
      <c r="E76" s="29">
        <v>1.5</v>
      </c>
      <c r="F76" s="31">
        <f t="shared" si="22"/>
        <v>9</v>
      </c>
      <c r="H76" s="42"/>
      <c r="I76" s="42"/>
      <c r="K76" s="42">
        <v>0</v>
      </c>
      <c r="L76" s="44">
        <f t="shared" si="23"/>
        <v>0</v>
      </c>
    </row>
    <row r="77" spans="1:12" s="30" customFormat="1">
      <c r="A77" s="32">
        <f t="shared" si="21"/>
        <v>62</v>
      </c>
      <c r="B77" s="33" t="s">
        <v>160</v>
      </c>
      <c r="C77" s="33" t="s">
        <v>289</v>
      </c>
      <c r="D77" s="26">
        <v>1</v>
      </c>
      <c r="E77" s="29">
        <f>6.2/1.2</f>
        <v>5.166666666666667</v>
      </c>
      <c r="F77" s="31">
        <f t="shared" si="22"/>
        <v>5.166666666666667</v>
      </c>
      <c r="H77" s="42"/>
      <c r="I77" s="42"/>
      <c r="K77" s="42">
        <v>0</v>
      </c>
      <c r="L77" s="44">
        <f t="shared" si="23"/>
        <v>0</v>
      </c>
    </row>
    <row r="78" spans="1:12" s="30" customFormat="1">
      <c r="A78" s="32">
        <f t="shared" si="21"/>
        <v>63</v>
      </c>
      <c r="B78" s="33" t="s">
        <v>143</v>
      </c>
      <c r="C78" s="33" t="s">
        <v>290</v>
      </c>
      <c r="D78" s="26">
        <v>4</v>
      </c>
      <c r="E78" s="29">
        <f>6.2/1.2</f>
        <v>5.166666666666667</v>
      </c>
      <c r="F78" s="31">
        <f t="shared" si="22"/>
        <v>20.666666666666668</v>
      </c>
      <c r="H78" s="42"/>
      <c r="I78" s="42"/>
      <c r="K78" s="42">
        <v>0</v>
      </c>
      <c r="L78" s="44">
        <f t="shared" si="23"/>
        <v>0</v>
      </c>
    </row>
    <row r="79" spans="1:12" s="30" customFormat="1">
      <c r="A79" s="32"/>
      <c r="B79" s="33"/>
      <c r="C79" s="33"/>
      <c r="D79" s="26"/>
      <c r="E79" s="29"/>
      <c r="F79" s="31"/>
      <c r="H79" s="42"/>
      <c r="I79" s="42"/>
      <c r="K79" s="42"/>
      <c r="L79" s="44"/>
    </row>
    <row r="80" spans="1:12" s="30" customFormat="1">
      <c r="A80" s="32">
        <f>A78+1</f>
        <v>64</v>
      </c>
      <c r="B80" s="33" t="s">
        <v>166</v>
      </c>
      <c r="C80" s="33" t="s">
        <v>291</v>
      </c>
      <c r="D80" s="26">
        <v>1</v>
      </c>
      <c r="E80" s="29">
        <v>7</v>
      </c>
      <c r="F80" s="31">
        <f t="shared" si="22"/>
        <v>7</v>
      </c>
      <c r="H80" s="42"/>
      <c r="I80" s="42"/>
      <c r="K80" s="42">
        <v>0</v>
      </c>
      <c r="L80" s="44">
        <f t="shared" ref="L80:L81" si="24">E80*K80</f>
        <v>0</v>
      </c>
    </row>
    <row r="81" spans="1:12" s="30" customFormat="1">
      <c r="A81" s="32">
        <f t="shared" ref="A81" si="25">A80+1</f>
        <v>65</v>
      </c>
      <c r="B81" s="33" t="s">
        <v>98</v>
      </c>
      <c r="C81" s="33" t="s">
        <v>99</v>
      </c>
      <c r="D81" s="26">
        <v>5</v>
      </c>
      <c r="E81" s="29">
        <v>1.8</v>
      </c>
      <c r="F81" s="31">
        <f t="shared" si="22"/>
        <v>9</v>
      </c>
      <c r="H81" s="42"/>
      <c r="I81" s="42"/>
      <c r="K81" s="42">
        <v>10</v>
      </c>
      <c r="L81" s="44">
        <f t="shared" si="24"/>
        <v>18</v>
      </c>
    </row>
    <row r="82" spans="1:12" s="30" customFormat="1">
      <c r="A82" s="32"/>
      <c r="B82" s="33"/>
      <c r="C82" s="33"/>
      <c r="D82" s="26"/>
      <c r="E82" s="29"/>
      <c r="F82" s="31"/>
      <c r="H82" s="42"/>
      <c r="I82" s="42"/>
      <c r="K82" s="42"/>
      <c r="L82" s="44"/>
    </row>
    <row r="83" spans="1:12" s="30" customFormat="1">
      <c r="A83" s="32">
        <f>A81+1</f>
        <v>66</v>
      </c>
      <c r="B83" s="33" t="s">
        <v>36</v>
      </c>
      <c r="C83" s="33" t="s">
        <v>34</v>
      </c>
      <c r="D83" s="26">
        <v>2</v>
      </c>
      <c r="E83" s="29">
        <f>21.1/1.2</f>
        <v>17.583333333333336</v>
      </c>
      <c r="F83" s="31">
        <f t="shared" si="22"/>
        <v>35.166666666666671</v>
      </c>
      <c r="H83" s="42"/>
      <c r="I83" s="42"/>
      <c r="K83" s="42">
        <v>4</v>
      </c>
      <c r="L83" s="44">
        <f t="shared" ref="L83:L85" si="26">E83*K83</f>
        <v>70.333333333333343</v>
      </c>
    </row>
    <row r="84" spans="1:12" s="30" customFormat="1">
      <c r="A84" s="32">
        <f t="shared" ref="A84:A85" si="27">A83+1</f>
        <v>67</v>
      </c>
      <c r="B84" s="33" t="s">
        <v>96</v>
      </c>
      <c r="C84" s="33" t="s">
        <v>97</v>
      </c>
      <c r="D84" s="26">
        <v>4</v>
      </c>
      <c r="E84" s="29">
        <v>5</v>
      </c>
      <c r="F84" s="31">
        <f>D84*E84</f>
        <v>20</v>
      </c>
      <c r="G84" s="30" t="s">
        <v>11</v>
      </c>
      <c r="H84" s="42"/>
      <c r="I84" s="42"/>
      <c r="K84" s="42">
        <v>0</v>
      </c>
      <c r="L84" s="44">
        <f t="shared" si="26"/>
        <v>0</v>
      </c>
    </row>
    <row r="85" spans="1:12" s="30" customFormat="1">
      <c r="A85" s="32">
        <f t="shared" si="27"/>
        <v>68</v>
      </c>
      <c r="B85" s="36" t="s">
        <v>33</v>
      </c>
      <c r="C85" s="33" t="s">
        <v>32</v>
      </c>
      <c r="D85" s="26">
        <v>8</v>
      </c>
      <c r="E85" s="29">
        <v>10</v>
      </c>
      <c r="F85" s="31">
        <f t="shared" si="22"/>
        <v>80</v>
      </c>
      <c r="G85" s="30" t="s">
        <v>31</v>
      </c>
      <c r="H85" s="42"/>
      <c r="I85" s="42"/>
      <c r="K85" s="42">
        <v>0</v>
      </c>
      <c r="L85" s="44">
        <f t="shared" si="26"/>
        <v>0</v>
      </c>
    </row>
    <row r="86" spans="1:12" s="30" customFormat="1">
      <c r="A86" s="32"/>
      <c r="B86" s="33"/>
      <c r="C86" s="25"/>
      <c r="D86" s="26"/>
      <c r="E86" s="29"/>
      <c r="F86" s="31"/>
      <c r="H86" s="42"/>
      <c r="I86" s="42"/>
      <c r="K86" s="42"/>
      <c r="L86" s="44"/>
    </row>
    <row r="87" spans="1:12" s="30" customFormat="1">
      <c r="A87" s="32">
        <f>A85+1</f>
        <v>69</v>
      </c>
      <c r="B87" s="33" t="s">
        <v>41</v>
      </c>
      <c r="C87" s="33" t="s">
        <v>132</v>
      </c>
      <c r="D87" s="26">
        <v>2</v>
      </c>
      <c r="E87" s="29">
        <v>75</v>
      </c>
      <c r="F87" s="31">
        <f>D87*E87</f>
        <v>150</v>
      </c>
      <c r="H87" s="42"/>
      <c r="I87" s="42"/>
      <c r="K87" s="42">
        <v>0</v>
      </c>
      <c r="L87" s="44">
        <f>E87*K87</f>
        <v>0</v>
      </c>
    </row>
    <row r="88" spans="1:12" s="30" customFormat="1">
      <c r="A88" s="32"/>
      <c r="B88" s="33"/>
      <c r="C88" s="33"/>
      <c r="D88" s="26"/>
      <c r="E88" s="29"/>
      <c r="F88" s="31"/>
      <c r="H88" s="42"/>
      <c r="I88" s="42"/>
      <c r="K88" s="42"/>
      <c r="L88" s="44"/>
    </row>
    <row r="89" spans="1:12" s="30" customFormat="1">
      <c r="A89" s="32">
        <f>A87+1</f>
        <v>70</v>
      </c>
      <c r="B89" s="33" t="s">
        <v>29</v>
      </c>
      <c r="C89" s="33" t="s">
        <v>292</v>
      </c>
      <c r="D89" s="26">
        <v>1</v>
      </c>
      <c r="E89" s="29">
        <f>15/1.2</f>
        <v>12.5</v>
      </c>
      <c r="F89" s="31">
        <f>D89*E89</f>
        <v>12.5</v>
      </c>
      <c r="G89" s="30" t="s">
        <v>27</v>
      </c>
      <c r="H89" s="42"/>
      <c r="I89" s="42"/>
      <c r="K89" s="42">
        <v>0</v>
      </c>
      <c r="L89" s="44">
        <f>E89*K89</f>
        <v>0</v>
      </c>
    </row>
    <row r="90" spans="1:12" s="30" customFormat="1">
      <c r="A90" s="32"/>
      <c r="B90" s="33"/>
      <c r="C90" s="33"/>
      <c r="D90" s="26"/>
      <c r="E90" s="29"/>
      <c r="F90" s="31"/>
      <c r="H90" s="42"/>
      <c r="I90" s="42"/>
      <c r="K90" s="42"/>
      <c r="L90" s="44"/>
    </row>
    <row r="91" spans="1:12" s="30" customFormat="1">
      <c r="A91" s="32">
        <f>A89+1</f>
        <v>71</v>
      </c>
      <c r="B91" s="33" t="s">
        <v>293</v>
      </c>
      <c r="C91" s="33" t="s">
        <v>5</v>
      </c>
      <c r="D91" s="26">
        <v>1</v>
      </c>
      <c r="E91" s="29">
        <f>950/1.2</f>
        <v>791.66666666666674</v>
      </c>
      <c r="F91" s="31">
        <f>D91*E91</f>
        <v>791.66666666666674</v>
      </c>
      <c r="H91" s="42"/>
      <c r="I91" s="42"/>
      <c r="K91" s="42">
        <v>0</v>
      </c>
      <c r="L91" s="44">
        <f>E91*K91</f>
        <v>0</v>
      </c>
    </row>
    <row r="92" spans="1:12" s="30" customFormat="1">
      <c r="A92" s="32"/>
      <c r="B92" s="33"/>
      <c r="C92" s="33"/>
      <c r="D92" s="26"/>
      <c r="E92" s="29"/>
      <c r="F92" s="31"/>
      <c r="H92" s="42"/>
      <c r="I92" s="42"/>
      <c r="K92" s="42"/>
      <c r="L92" s="44"/>
    </row>
    <row r="93" spans="1:12">
      <c r="A93" s="32">
        <f>A91+1</f>
        <v>72</v>
      </c>
      <c r="B93" s="3" t="s">
        <v>10</v>
      </c>
      <c r="C93" s="3"/>
      <c r="D93" s="23">
        <v>1</v>
      </c>
      <c r="E93" s="4">
        <v>500</v>
      </c>
      <c r="F93" s="11">
        <f>D93*E93</f>
        <v>500</v>
      </c>
      <c r="H93" s="43"/>
      <c r="I93" s="43"/>
      <c r="K93" s="43"/>
      <c r="L93" s="45"/>
    </row>
    <row r="94" spans="1:12" ht="15.75" thickBot="1">
      <c r="A94" s="17"/>
      <c r="B94" s="18"/>
      <c r="C94" s="18"/>
      <c r="D94" s="27"/>
      <c r="E94" s="18"/>
      <c r="F94" s="19"/>
      <c r="H94" s="43"/>
      <c r="I94" s="43"/>
      <c r="K94" s="43"/>
      <c r="L94" s="45"/>
    </row>
    <row r="95" spans="1:12">
      <c r="A95" s="20"/>
      <c r="B95" s="21"/>
      <c r="C95" s="21"/>
      <c r="D95" s="6"/>
      <c r="E95" s="21" t="s">
        <v>8</v>
      </c>
      <c r="F95" s="22">
        <f>SUM(F5:F93)</f>
        <v>4330.6583333333319</v>
      </c>
      <c r="H95" s="43"/>
      <c r="I95" s="43"/>
      <c r="K95" s="43"/>
      <c r="L95" s="22">
        <f>SUM(L5:L93)</f>
        <v>1192.6000000000001</v>
      </c>
    </row>
    <row r="96" spans="1:12">
      <c r="A96" s="10"/>
      <c r="B96" s="3"/>
      <c r="C96" s="3"/>
      <c r="D96" s="23"/>
      <c r="E96" s="3" t="s">
        <v>7</v>
      </c>
      <c r="F96" s="12">
        <f>F95*1.2</f>
        <v>5196.7899999999981</v>
      </c>
      <c r="H96" s="43"/>
      <c r="I96" s="43"/>
      <c r="K96" s="43"/>
      <c r="L96" s="12">
        <f>L95*1.2</f>
        <v>1431.1200000000001</v>
      </c>
    </row>
    <row r="97" spans="1:12" ht="15.75" thickBot="1">
      <c r="A97" s="13"/>
      <c r="B97" s="14"/>
      <c r="C97" s="14"/>
      <c r="D97" s="28"/>
      <c r="E97" s="14" t="s">
        <v>6</v>
      </c>
      <c r="F97" s="15">
        <f>F96/'[1]Сводная калькуляция'!H1</f>
        <v>66.625512820512796</v>
      </c>
      <c r="H97" s="43"/>
      <c r="I97" s="43"/>
      <c r="K97" s="43"/>
      <c r="L97" s="45"/>
    </row>
    <row r="98" spans="1:12">
      <c r="A98" s="1"/>
      <c r="B98" s="1"/>
      <c r="C98" s="1"/>
      <c r="D98" s="1"/>
      <c r="E98" s="1"/>
      <c r="F98" s="1"/>
      <c r="L98" s="36">
        <f>L96*1.3</f>
        <v>1860.4560000000001</v>
      </c>
    </row>
    <row r="99" spans="1:12">
      <c r="A99" s="1"/>
      <c r="B99" s="1"/>
      <c r="C99" s="1"/>
      <c r="D99" s="1"/>
      <c r="E99" s="1"/>
      <c r="F99" s="1"/>
    </row>
    <row r="100" spans="1:12">
      <c r="A100" s="38"/>
      <c r="B100" s="34"/>
      <c r="C100" s="38"/>
      <c r="D100" s="38"/>
      <c r="E100" s="38"/>
      <c r="F100" s="1"/>
    </row>
    <row r="101" spans="1:12">
      <c r="A101" s="1"/>
      <c r="B101" s="1"/>
      <c r="C101" s="1"/>
      <c r="D101" s="1"/>
      <c r="E101" s="1"/>
      <c r="F101" s="1"/>
    </row>
    <row r="102" spans="1:12">
      <c r="A102" s="1"/>
      <c r="B102" s="1"/>
      <c r="C102" s="1"/>
      <c r="D102" s="1"/>
      <c r="E102" s="1"/>
      <c r="F10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BOM</vt:lpstr>
      <vt:lpstr>Калькуляция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2023-01-12T06:17:16Z</dcterms:modified>
</cp:coreProperties>
</file>