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PWRPORT_r" sheetId="1" r:id="rId1"/>
  </sheets>
  <definedNames>
    <definedName name="d">'PWRPORT_r'!$E$93</definedName>
    <definedName name="ExtDisk">'PWRPORT_r'!$E$89</definedName>
    <definedName name="IntDisk">'PWRPORT_r'!$E$91</definedName>
    <definedName name="MA0Ext">'PWRPORT_r'!$B$113</definedName>
    <definedName name="MA0Int">'PWRPORT_r'!$B$117</definedName>
    <definedName name="MA1Ext">'PWRPORT_r'!$B$112</definedName>
    <definedName name="MA1Int">'PWRPORT_r'!$B$116</definedName>
    <definedName name="MAFExt">'PWRPORT_r'!$B$121</definedName>
    <definedName name="MAFInt">'PWRPORT_r'!$B$123</definedName>
    <definedName name="MAP">'PWRPORT_r'!$B$127</definedName>
    <definedName name="MAP2">'PWRPORT_r'!$B$83</definedName>
    <definedName name="p">'PWRPORT_r'!$B$76</definedName>
    <definedName name="PortID">'PWRPORT_r'!$E$88</definedName>
    <definedName name="Rnose">'PWRPORT_r'!$E$94</definedName>
    <definedName name="t">'PWRPORT_r'!$B$129</definedName>
  </definedNames>
  <calcPr fullCalcOnLoad="1"/>
</workbook>
</file>

<file path=xl/sharedStrings.xml><?xml version="1.0" encoding="utf-8"?>
<sst xmlns="http://schemas.openxmlformats.org/spreadsheetml/2006/main" count="120" uniqueCount="80">
  <si>
    <t>::</t>
  </si>
  <si>
    <t>MAP2=(p*1.46*Dia./2+p*Length)/Sp</t>
  </si>
  <si>
    <t>PortID=</t>
  </si>
  <si>
    <t>ExtDisk=</t>
  </si>
  <si>
    <t>IntDisk=</t>
  </si>
  <si>
    <t>d=</t>
  </si>
  <si>
    <t>Rnose=</t>
  </si>
  <si>
    <t>t=</t>
  </si>
  <si>
    <t>MA1Ext=.5*p/(pi*d)*(ln(ExtDisk)-ln(PortID))</t>
  </si>
  <si>
    <t>MA0Ext=(.05*d/ExtDisk+.5)/(pi*ExtDisk*d)</t>
  </si>
  <si>
    <t>MA1Int=.5*p/(pi*d)*(ln(IntDisk)-ln(PortID))</t>
  </si>
  <si>
    <t>MA0Int=(.036*d/IntDisk+.36)/(pi*IntDisk*d)</t>
  </si>
  <si>
    <t>MAFExt=1.135*p*((2*Rnose+d)/4)/((PortID+2*Rnose)*d+(PortID*d-d^2)/2)</t>
  </si>
  <si>
    <t>MAFInt=1.135*p*((2*Rnose+d)/4)/(((PortID+2*Rnose)*d+(PortID*d-d^2))/2)</t>
  </si>
  <si>
    <t>MAP=MAP2-(MA0Ext+MA1Ext+MAFExt+MA0Int+MA1Int+MAFInt)</t>
  </si>
  <si>
    <t>Length=MAP*pi*(PortID*d-d^2)/p</t>
  </si>
  <si>
    <t>Проектирование Power Port по Мэттью Полку</t>
  </si>
  <si>
    <t>Русская версия, февраль 1998 г.</t>
  </si>
  <si>
    <t>Наставление:</t>
  </si>
  <si>
    <t xml:space="preserve">акустической массой, как у обычного прямого туннеля. Настройка фазоинвертора при этом не изменится, </t>
  </si>
  <si>
    <t>а эффективность, особенно на больших мощностях - заметно улучшится.</t>
  </si>
  <si>
    <t>1.  В разделе I рассчитывается акустическая масса туннеля, требуемого по Вашему проекту</t>
  </si>
  <si>
    <t>2.  В разделе II введите полученное значение акустической массы.</t>
  </si>
  <si>
    <t>3.  Затем введите желательные для Вас размеры Power port в соответствии в рисунками</t>
  </si>
  <si>
    <t xml:space="preserve">Обозначения переменных даны в скобках  </t>
  </si>
  <si>
    <t>5.  Длина прямой секции в середине power port вычисляется из расчета получения</t>
  </si>
  <si>
    <t>требуемой акустической массы. Если у Вас при расчете получилось отрицательное значение переменной t,</t>
  </si>
  <si>
    <t>значит, Вы выбрали слишком маленькое значение внутреннего диаметра тоннеля PortID или просвета d.</t>
  </si>
  <si>
    <t>I. Акустическая масса обычного тоннеля (по Вашим данным)</t>
  </si>
  <si>
    <t>вводите свои значения только в поля, обозначенные рамками!</t>
  </si>
  <si>
    <t>Диаметр</t>
  </si>
  <si>
    <t>Длина</t>
  </si>
  <si>
    <t>p - плотность воздуха</t>
  </si>
  <si>
    <t>Sp=pi*(Dia/2)^2 - Площадь сечения</t>
  </si>
  <si>
    <t>Акустическая масса прямого тоннеля</t>
  </si>
  <si>
    <t>дюймов</t>
  </si>
  <si>
    <t>м</t>
  </si>
  <si>
    <t>кг/м^3</t>
  </si>
  <si>
    <t>кв.дюймов</t>
  </si>
  <si>
    <t>кв.м</t>
  </si>
  <si>
    <t>кг/м^4</t>
  </si>
  <si>
    <t>II. Расчет размеров эквивалентного Power Port</t>
  </si>
  <si>
    <t>a.Введите значение требуемой акустической массы (из предыдущего расчета)</t>
  </si>
  <si>
    <t>MAP2, акустическая масса прямого тоннеля</t>
  </si>
  <si>
    <t xml:space="preserve">b.Введите требуемые размеры элементов Power port. В результате расчетов получится   </t>
  </si>
  <si>
    <t>необходимая длина прямой секции. См рисунки.</t>
  </si>
  <si>
    <t>Диаметр трубы</t>
  </si>
  <si>
    <t>Диаметр внешнего диска</t>
  </si>
  <si>
    <t>Диаметр внутреннего диска</t>
  </si>
  <si>
    <t xml:space="preserve">    (вводите "0" для одинарного)</t>
  </si>
  <si>
    <t xml:space="preserve">Просвет (не более 1/2 диаметра трубы) </t>
  </si>
  <si>
    <t xml:space="preserve">   </t>
  </si>
  <si>
    <t>Радиус закругления</t>
  </si>
  <si>
    <t>куб.м</t>
  </si>
  <si>
    <t>Эффективный диаметр на внешнем конце</t>
  </si>
  <si>
    <t>Эффективный диаметр на внутреннем конце</t>
  </si>
  <si>
    <t>Объем, занимаемый тоннелем внутри ящика  (при толщине стенок 18 мм, толщине стенок трубы 6 мм</t>
  </si>
  <si>
    <t>и внутр. диске, если есть, толщиной 12 мм)</t>
  </si>
  <si>
    <t>куб. фут</t>
  </si>
  <si>
    <t>Размеры обтекателя</t>
  </si>
  <si>
    <t xml:space="preserve"> Диаметр в сопряжении с диском</t>
  </si>
  <si>
    <t xml:space="preserve"> Радиус закругления</t>
  </si>
  <si>
    <t xml:space="preserve"> Диаметр в сопряжении с удлиннителем</t>
  </si>
  <si>
    <t xml:space="preserve"> Диаметр удлиннителя</t>
  </si>
  <si>
    <t>Акустическая масса  внешнего диска</t>
  </si>
  <si>
    <t>Акустическая масса  внутреннего диска</t>
  </si>
  <si>
    <t>Акустическая масса  обтекателей</t>
  </si>
  <si>
    <t>Акустическая масса прямой секции</t>
  </si>
  <si>
    <t>Длина прямой секции (без закруглений на концах)</t>
  </si>
  <si>
    <t>Коррекция на эффект близости стенки</t>
  </si>
  <si>
    <t>Воздух между внешним диском и стенкой</t>
  </si>
  <si>
    <t>Воздух между внутренним диском и диафрагмой</t>
  </si>
  <si>
    <t>Коррекция на эффект близости диафрагмы</t>
  </si>
  <si>
    <t>Воздух в криволинейной области у внешнего обтекателя</t>
  </si>
  <si>
    <t>Воздух в криволинейной области у внутреннего обтекателя</t>
  </si>
  <si>
    <t>4. Выберите одинарный или двойной тип Power port. Для одинарного - вводите диаметр внутреннего диска =0</t>
  </si>
  <si>
    <t>Размеры прямой секции (без концевых закруглений)</t>
  </si>
  <si>
    <t xml:space="preserve">Вообще говоря, является собственостью Polk Audio, Inc.  </t>
  </si>
  <si>
    <t xml:space="preserve">С помощью этого документа можно рассчитать патентованный  Power port с такой же эквивалентной </t>
  </si>
  <si>
    <t>III. Расчетные формулы (для информации, не редактируйте!)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</si>
</sst>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\ h:mm"/>
    <numFmt numFmtId="177" formatCode="&quot;$&quot;#,##0\ ;\(&quot;$&quot;#,##0\)"/>
    <numFmt numFmtId="178" formatCode="&quot;$&quot;#,##0\ ;[Red]\(&quot;$&quot;#,##0\)"/>
    <numFmt numFmtId="179" formatCode="&quot;$&quot;#,##0.00\ ;\(&quot;$&quot;#,##0.00\)"/>
    <numFmt numFmtId="180" formatCode="&quot;$&quot;#,##0.00\ ;[Red]\(&quot;$&quot;#,##0.00\)"/>
    <numFmt numFmtId="181" formatCode="m/d"/>
    <numFmt numFmtId="182" formatCode="0.000"/>
    <numFmt numFmtId="183" formatCode="0.0000"/>
    <numFmt numFmtId="184" formatCode="#,##0_);\(#,##0\)"/>
    <numFmt numFmtId="185" formatCode="#,##0_);[Red]\(#,##0\)"/>
    <numFmt numFmtId="186" formatCode="#,##0.00_);\(#,##0.00\)"/>
    <numFmt numFmtId="187" formatCode="#,##0.00_);[Red]\(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darkDown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5" fillId="0" borderId="0" xfId="0" applyFont="1" applyAlignment="1">
      <alignment/>
    </xf>
    <xf numFmtId="18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3" xfId="0" applyNumberForma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2" fontId="3" fillId="0" borderId="4" xfId="0" applyNumberFormat="1" applyFont="1" applyBorder="1" applyAlignment="1">
      <alignment/>
    </xf>
    <xf numFmtId="2" fontId="0" fillId="0" borderId="5" xfId="0" applyNumberFormat="1" applyBorder="1" applyAlignment="1" applyProtection="1">
      <alignment/>
      <protection locked="0"/>
    </xf>
    <xf numFmtId="0" fontId="3" fillId="0" borderId="4" xfId="0" applyFont="1" applyBorder="1" applyAlignment="1">
      <alignment/>
    </xf>
    <xf numFmtId="182" fontId="0" fillId="0" borderId="3" xfId="0" applyNumberForma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182" fontId="0" fillId="0" borderId="6" xfId="0" applyNumberFormat="1" applyBorder="1" applyAlignment="1" applyProtection="1">
      <alignment/>
      <protection locked="0"/>
    </xf>
    <xf numFmtId="182" fontId="0" fillId="2" borderId="6" xfId="0" applyNumberFormat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182" fontId="3" fillId="0" borderId="0" xfId="0" applyNumberFormat="1" applyFont="1" applyAlignment="1">
      <alignment/>
    </xf>
    <xf numFmtId="0" fontId="3" fillId="0" borderId="0" xfId="0" applyFont="1" applyAlignment="1">
      <alignment/>
    </xf>
    <xf numFmtId="182" fontId="0" fillId="0" borderId="5" xfId="0" applyNumberFormat="1" applyBorder="1" applyAlignment="1" applyProtection="1">
      <alignment/>
      <protection locked="0"/>
    </xf>
    <xf numFmtId="2" fontId="3" fillId="0" borderId="4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8</xdr:row>
      <xdr:rowOff>19050</xdr:rowOff>
    </xdr:from>
    <xdr:to>
      <xdr:col>3</xdr:col>
      <xdr:colOff>438150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09700"/>
          <a:ext cx="4476750" cy="2695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142875</xdr:colOff>
      <xdr:row>27</xdr:row>
      <xdr:rowOff>19050</xdr:rowOff>
    </xdr:from>
    <xdr:to>
      <xdr:col>3</xdr:col>
      <xdr:colOff>352425</xdr:colOff>
      <xdr:row>44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486275"/>
          <a:ext cx="436245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504825</xdr:colOff>
      <xdr:row>25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90650"/>
          <a:ext cx="4657725" cy="2857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3</xdr:col>
      <xdr:colOff>390525</xdr:colOff>
      <xdr:row>45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467225"/>
          <a:ext cx="4543425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82">
      <selection activeCell="B90" sqref="B90"/>
    </sheetView>
  </sheetViews>
  <sheetFormatPr defaultColWidth="9.140625" defaultRowHeight="12.75"/>
  <cols>
    <col min="1" max="1" width="41.7109375" style="0" customWidth="1"/>
    <col min="2" max="16384" width="10.28125" style="0" customWidth="1"/>
  </cols>
  <sheetData>
    <row r="1" s="29" customFormat="1" ht="20.25">
      <c r="A1" s="30" t="s">
        <v>16</v>
      </c>
    </row>
    <row r="2" ht="12.75">
      <c r="A2" t="s">
        <v>17</v>
      </c>
    </row>
    <row r="4" ht="12.75">
      <c r="A4" s="1" t="s">
        <v>77</v>
      </c>
    </row>
    <row r="5" ht="12.75">
      <c r="A5" s="1"/>
    </row>
    <row r="7" ht="12.75">
      <c r="A7" s="1"/>
    </row>
    <row r="8" ht="12.75">
      <c r="A8" s="1"/>
    </row>
    <row r="48" ht="12.75">
      <c r="A48" t="s">
        <v>0</v>
      </c>
    </row>
    <row r="49" ht="12.75">
      <c r="A49" s="2" t="s">
        <v>18</v>
      </c>
    </row>
    <row r="50" ht="12.75">
      <c r="A50" s="1" t="s">
        <v>78</v>
      </c>
    </row>
    <row r="51" ht="12.75">
      <c r="A51" s="1" t="s">
        <v>19</v>
      </c>
    </row>
    <row r="52" ht="12.75">
      <c r="A52" s="1" t="s">
        <v>20</v>
      </c>
    </row>
    <row r="53" ht="12.75">
      <c r="A53" s="1"/>
    </row>
    <row r="54" ht="12.75">
      <c r="A54" s="1"/>
    </row>
    <row r="55" ht="12.75">
      <c r="A55" s="1" t="s">
        <v>21</v>
      </c>
    </row>
    <row r="57" ht="12.75">
      <c r="A57" s="1"/>
    </row>
    <row r="58" ht="12.75">
      <c r="A58" s="1" t="s">
        <v>22</v>
      </c>
    </row>
    <row r="59" ht="12.75">
      <c r="A59" s="1"/>
    </row>
    <row r="60" ht="12.75">
      <c r="A60" s="1" t="s">
        <v>23</v>
      </c>
    </row>
    <row r="61" ht="12.75">
      <c r="A61" s="1" t="s">
        <v>24</v>
      </c>
    </row>
    <row r="62" ht="12.75">
      <c r="A62" s="1"/>
    </row>
    <row r="63" ht="12.75">
      <c r="A63" s="1" t="s">
        <v>75</v>
      </c>
    </row>
    <row r="64" ht="12.75">
      <c r="A64" s="1"/>
    </row>
    <row r="65" ht="12.75">
      <c r="A65" s="1"/>
    </row>
    <row r="66" ht="12.75">
      <c r="A66" s="1" t="s">
        <v>25</v>
      </c>
    </row>
    <row r="67" spans="1:7" ht="12.75">
      <c r="A67" s="28" t="s">
        <v>26</v>
      </c>
      <c r="B67" s="29"/>
      <c r="C67" s="29"/>
      <c r="D67" s="29"/>
      <c r="E67" s="29"/>
      <c r="F67" s="29"/>
      <c r="G67" s="29"/>
    </row>
    <row r="68" ht="12.75">
      <c r="A68" s="1" t="s">
        <v>27</v>
      </c>
    </row>
    <row r="69" ht="12.75">
      <c r="A69" s="1"/>
    </row>
    <row r="70" ht="12.75">
      <c r="A70" s="1"/>
    </row>
    <row r="71" ht="12.75">
      <c r="A71" s="1"/>
    </row>
    <row r="72" spans="1:6" ht="12.75">
      <c r="A72" s="15" t="s">
        <v>28</v>
      </c>
      <c r="B72" s="17"/>
      <c r="C72" s="17"/>
      <c r="D72" s="17"/>
      <c r="E72" s="17"/>
      <c r="F72" s="17"/>
    </row>
    <row r="73" ht="12.75">
      <c r="B73" s="8" t="s">
        <v>29</v>
      </c>
    </row>
    <row r="74" spans="1:6" ht="13.5" thickTop="1">
      <c r="A74" t="s">
        <v>30</v>
      </c>
      <c r="B74" s="11">
        <v>4</v>
      </c>
      <c r="C74" t="s">
        <v>35</v>
      </c>
      <c r="E74" s="4">
        <f>B74*0.0254</f>
        <v>0.1016</v>
      </c>
      <c r="F74" t="s">
        <v>36</v>
      </c>
    </row>
    <row r="75" spans="1:6" ht="13.5" thickBot="1">
      <c r="A75" t="s">
        <v>31</v>
      </c>
      <c r="B75" s="14">
        <v>20</v>
      </c>
      <c r="C75" t="s">
        <v>35</v>
      </c>
      <c r="E75" s="4">
        <f>B75*0.0254</f>
        <v>0.508</v>
      </c>
      <c r="F75" t="s">
        <v>36</v>
      </c>
    </row>
    <row r="76" spans="1:3" ht="13.5" thickTop="1">
      <c r="A76" s="1" t="s">
        <v>32</v>
      </c>
      <c r="B76" s="1">
        <v>1.18</v>
      </c>
      <c r="C76" s="1" t="s">
        <v>37</v>
      </c>
    </row>
    <row r="77" spans="1:6" ht="12.75">
      <c r="A77" t="s">
        <v>33</v>
      </c>
      <c r="B77" s="3">
        <f>PI()*(B74/2)^2</f>
        <v>12.566370614359172</v>
      </c>
      <c r="C77" t="s">
        <v>38</v>
      </c>
      <c r="E77" s="5">
        <f>B77*0.0254^2</f>
        <v>0.008107319665559963</v>
      </c>
      <c r="F77" t="s">
        <v>39</v>
      </c>
    </row>
    <row r="78" spans="1:6" ht="12.75">
      <c r="A78" t="s">
        <v>1</v>
      </c>
      <c r="B78" s="13">
        <f>B76*(E75+1.46*E74/2)/(PI()*(E74/2)^2)</f>
        <v>84.73308915130245</v>
      </c>
      <c r="C78" s="15" t="s">
        <v>40</v>
      </c>
      <c r="D78" s="15" t="s">
        <v>34</v>
      </c>
      <c r="E78" s="15"/>
      <c r="F78" s="15"/>
    </row>
    <row r="80" spans="1:3" ht="12.75">
      <c r="A80" s="15" t="s">
        <v>41</v>
      </c>
      <c r="B80" s="17"/>
      <c r="C80" s="17"/>
    </row>
    <row r="81" ht="12.75">
      <c r="B81" s="8" t="s">
        <v>29</v>
      </c>
    </row>
    <row r="82" spans="1:6" ht="12.75">
      <c r="A82" s="18" t="s">
        <v>42</v>
      </c>
      <c r="B82" s="19"/>
      <c r="C82" s="19"/>
      <c r="D82" s="19"/>
      <c r="E82" s="19"/>
      <c r="F82" s="19"/>
    </row>
    <row r="83" spans="1:3" ht="13.5" thickBot="1">
      <c r="A83" t="s">
        <v>43</v>
      </c>
      <c r="B83" s="27">
        <v>84.73</v>
      </c>
      <c r="C83" s="15" t="s">
        <v>40</v>
      </c>
    </row>
    <row r="84" spans="1:6" ht="13.5" thickTop="1">
      <c r="A84" s="1"/>
      <c r="B84" s="1"/>
      <c r="C84" s="1"/>
      <c r="D84" s="1"/>
      <c r="E84" s="1"/>
      <c r="F84" s="1"/>
    </row>
    <row r="85" ht="12.75">
      <c r="A85" t="s">
        <v>44</v>
      </c>
    </row>
    <row r="86" spans="1:6" ht="12.75">
      <c r="A86" s="19" t="s">
        <v>45</v>
      </c>
      <c r="B86" s="19"/>
      <c r="C86" s="19"/>
      <c r="D86" s="19"/>
      <c r="E86" s="19"/>
      <c r="F86" s="19"/>
    </row>
    <row r="87" spans="1:6" ht="12.75">
      <c r="A87" s="1"/>
      <c r="B87" s="8" t="s">
        <v>29</v>
      </c>
      <c r="C87" s="1"/>
      <c r="D87" s="1"/>
      <c r="E87" s="1"/>
      <c r="F87" s="1"/>
    </row>
    <row r="88" spans="1:6" ht="13.5" thickTop="1">
      <c r="A88" t="s">
        <v>46</v>
      </c>
      <c r="B88" s="16">
        <v>4</v>
      </c>
      <c r="C88" t="s">
        <v>35</v>
      </c>
      <c r="D88" s="20" t="s">
        <v>2</v>
      </c>
      <c r="E88" s="4">
        <f>B88*0.0254</f>
        <v>0.1016</v>
      </c>
      <c r="F88" t="s">
        <v>36</v>
      </c>
    </row>
    <row r="89" spans="1:6" ht="12.75">
      <c r="A89" t="s">
        <v>47</v>
      </c>
      <c r="B89" s="21">
        <v>6</v>
      </c>
      <c r="C89" t="s">
        <v>35</v>
      </c>
      <c r="D89" s="20" t="s">
        <v>3</v>
      </c>
      <c r="E89" s="4">
        <f>B89*0.0254</f>
        <v>0.15239999999999998</v>
      </c>
      <c r="F89" t="s">
        <v>36</v>
      </c>
    </row>
    <row r="90" spans="1:4" ht="12.75">
      <c r="A90" t="s">
        <v>48</v>
      </c>
      <c r="B90" s="22"/>
      <c r="D90" s="20"/>
    </row>
    <row r="91" spans="1:6" ht="12.75">
      <c r="A91" t="s">
        <v>49</v>
      </c>
      <c r="B91" s="21">
        <v>0</v>
      </c>
      <c r="C91" t="s">
        <v>35</v>
      </c>
      <c r="D91" s="20" t="s">
        <v>4</v>
      </c>
      <c r="E91" s="4">
        <f>B91*0.0254</f>
        <v>0</v>
      </c>
      <c r="F91" t="s">
        <v>36</v>
      </c>
    </row>
    <row r="92" spans="1:4" ht="12.75">
      <c r="A92" t="s">
        <v>50</v>
      </c>
      <c r="B92" s="22"/>
      <c r="D92" s="20"/>
    </row>
    <row r="93" spans="1:6" ht="12.75">
      <c r="A93" t="s">
        <v>51</v>
      </c>
      <c r="B93" s="21">
        <v>1.25</v>
      </c>
      <c r="C93" t="s">
        <v>35</v>
      </c>
      <c r="D93" s="20" t="s">
        <v>5</v>
      </c>
      <c r="E93" s="4">
        <f>B93*0.0254</f>
        <v>0.03175</v>
      </c>
      <c r="F93" t="s">
        <v>36</v>
      </c>
    </row>
    <row r="94" spans="1:6" ht="13.5" thickBot="1">
      <c r="A94" t="s">
        <v>52</v>
      </c>
      <c r="B94" s="26">
        <v>0.5</v>
      </c>
      <c r="C94" t="s">
        <v>35</v>
      </c>
      <c r="D94" s="20" t="s">
        <v>6</v>
      </c>
      <c r="E94" s="4">
        <f>B94*0.0254</f>
        <v>0.0127</v>
      </c>
      <c r="F94" t="s">
        <v>36</v>
      </c>
    </row>
    <row r="95" spans="1:6" ht="13.5" thickTop="1">
      <c r="A95" s="1"/>
      <c r="C95" s="1"/>
      <c r="D95" s="1"/>
      <c r="E95" s="1"/>
      <c r="F95" s="1"/>
    </row>
    <row r="96" spans="1:6" ht="12.75">
      <c r="A96" s="2" t="s">
        <v>76</v>
      </c>
      <c r="B96" s="2"/>
      <c r="C96" s="2"/>
      <c r="D96" s="1"/>
      <c r="E96" s="1"/>
      <c r="F96" s="1"/>
    </row>
    <row r="97" spans="1:6" ht="12.75">
      <c r="A97" s="23" t="s">
        <v>7</v>
      </c>
      <c r="B97" s="24">
        <f>B129</f>
        <v>8.355081595341336</v>
      </c>
      <c r="C97" s="25" t="s">
        <v>35</v>
      </c>
      <c r="D97" s="20" t="s">
        <v>7</v>
      </c>
      <c r="E97" s="4">
        <f>B97*0.0254</f>
        <v>0.2122190725216699</v>
      </c>
      <c r="F97" t="s">
        <v>36</v>
      </c>
    </row>
    <row r="98" spans="1:6" ht="12.75">
      <c r="A98" s="1" t="s">
        <v>54</v>
      </c>
      <c r="B98" s="10">
        <f>2*(E89*E93)^0.5/0.0254</f>
        <v>5.477225575051661</v>
      </c>
      <c r="C98" t="s">
        <v>35</v>
      </c>
      <c r="D98" s="1"/>
      <c r="E98" s="4">
        <f>B98*0.0254</f>
        <v>0.1391215296063122</v>
      </c>
      <c r="F98" t="s">
        <v>36</v>
      </c>
    </row>
    <row r="99" spans="1:6" ht="12.75">
      <c r="A99" s="1" t="s">
        <v>55</v>
      </c>
      <c r="B99" s="10">
        <f>IF(E91&lt;E88,2*(E88*E93-E93^2)^0.5/0.0254,+2*(E91*E93)^0.5/0.0254)</f>
        <v>3.708099243547831</v>
      </c>
      <c r="C99" t="s">
        <v>35</v>
      </c>
      <c r="D99" s="1"/>
      <c r="E99" s="4">
        <f>B99*0.0254</f>
        <v>0.09418572078611491</v>
      </c>
      <c r="F99" t="s">
        <v>36</v>
      </c>
    </row>
    <row r="100" s="29" customFormat="1" ht="12.75">
      <c r="A100" s="28" t="s">
        <v>56</v>
      </c>
    </row>
    <row r="101" spans="1:6" ht="12.75">
      <c r="A101" s="1" t="s">
        <v>57</v>
      </c>
      <c r="B101" s="6">
        <f>PI()*((E88/2/0.0254+0.25)^2*(B129+2*E94/0.0254-1.25)+(E91/2/0.0254)^2*(E93/0.0254+1))/1728</f>
        <v>0.07459823670899467</v>
      </c>
      <c r="C101" s="1" t="s">
        <v>58</v>
      </c>
      <c r="D101" s="1"/>
      <c r="E101" s="7">
        <f>B101*1728*0.0254^3</f>
        <v>0.002112386824922305</v>
      </c>
      <c r="F101" t="s">
        <v>53</v>
      </c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2" t="s">
        <v>59</v>
      </c>
      <c r="B103" s="1"/>
      <c r="C103" s="1"/>
      <c r="D103" s="1"/>
      <c r="E103" s="1"/>
      <c r="F103" s="1"/>
    </row>
    <row r="104" spans="1:6" ht="12.75">
      <c r="A104" s="1" t="s">
        <v>60</v>
      </c>
      <c r="B104" s="6">
        <f>B105+2*B106</f>
        <v>5</v>
      </c>
      <c r="C104" t="s">
        <v>35</v>
      </c>
      <c r="D104" s="1"/>
      <c r="E104" s="4">
        <f>B104*0.0254</f>
        <v>0.127</v>
      </c>
      <c r="F104" t="s">
        <v>36</v>
      </c>
    </row>
    <row r="105" spans="1:6" ht="12.75">
      <c r="A105" s="1" t="s">
        <v>62</v>
      </c>
      <c r="B105" s="6">
        <f>(E88-2*E93)/0.0254</f>
        <v>1.4999999999999998</v>
      </c>
      <c r="C105" t="s">
        <v>35</v>
      </c>
      <c r="D105" s="1"/>
      <c r="E105" s="4">
        <f>B105*0.0254</f>
        <v>0.038099999999999995</v>
      </c>
      <c r="F105" t="s">
        <v>36</v>
      </c>
    </row>
    <row r="106" spans="1:6" ht="12.75">
      <c r="A106" s="1" t="s">
        <v>61</v>
      </c>
      <c r="B106" s="6">
        <f>(E93+E94)/0.0254</f>
        <v>1.7500000000000002</v>
      </c>
      <c r="C106" t="s">
        <v>35</v>
      </c>
      <c r="D106" s="1"/>
      <c r="E106" s="4">
        <f>B106*0.0254</f>
        <v>0.04445</v>
      </c>
      <c r="F106" t="s">
        <v>36</v>
      </c>
    </row>
    <row r="107" spans="1:6" ht="12.75">
      <c r="A107" s="1" t="s">
        <v>63</v>
      </c>
      <c r="B107" s="6">
        <f>(E88-2*E93)/0.0254</f>
        <v>1.4999999999999998</v>
      </c>
      <c r="C107" t="s">
        <v>35</v>
      </c>
      <c r="D107" s="1"/>
      <c r="E107" s="4">
        <f>B107*0.0254</f>
        <v>0.038099999999999995</v>
      </c>
      <c r="F107" t="s">
        <v>36</v>
      </c>
    </row>
    <row r="108" spans="1:6" ht="12.75">
      <c r="A108" s="1" t="s">
        <v>0</v>
      </c>
      <c r="B108" s="1"/>
      <c r="C108" s="1"/>
      <c r="D108" s="1"/>
      <c r="E108" s="1"/>
      <c r="F108" s="1"/>
    </row>
    <row r="109" spans="1:3" ht="12.75">
      <c r="A109" s="15" t="s">
        <v>79</v>
      </c>
      <c r="B109" s="17"/>
      <c r="C109" s="17"/>
    </row>
    <row r="111" ht="12.75">
      <c r="A111" s="12" t="s">
        <v>64</v>
      </c>
    </row>
    <row r="112" spans="1:4" ht="12.75">
      <c r="A112" t="s">
        <v>8</v>
      </c>
      <c r="B112" s="4">
        <f>0.5*B76/(PI()*E93)*(LN(E89)-LN(E88))</f>
        <v>2.398346328312152</v>
      </c>
      <c r="C112" t="s">
        <v>40</v>
      </c>
      <c r="D112" t="s">
        <v>70</v>
      </c>
    </row>
    <row r="113" spans="1:4" ht="12.75">
      <c r="A113" t="s">
        <v>9</v>
      </c>
      <c r="B113" s="6">
        <f>(0.0506*E93/E89+0.5)/(PI()*E93*E89)</f>
        <v>33.58556219826596</v>
      </c>
      <c r="C113" t="s">
        <v>40</v>
      </c>
      <c r="D113" t="s">
        <v>69</v>
      </c>
    </row>
    <row r="114" spans="1:3" ht="12.75">
      <c r="A114" s="1"/>
      <c r="C114" s="1"/>
    </row>
    <row r="115" spans="1:2" ht="12.75">
      <c r="A115" s="12" t="s">
        <v>65</v>
      </c>
      <c r="B115" s="4"/>
    </row>
    <row r="116" spans="1:4" ht="12.75">
      <c r="A116" t="s">
        <v>10</v>
      </c>
      <c r="B116" s="4">
        <f>IF(E91=0,0,0.5*B76/(PI()*E93)*(LN(E91)-LN(E88)))</f>
        <v>0</v>
      </c>
      <c r="C116" t="s">
        <v>40</v>
      </c>
      <c r="D116" t="s">
        <v>71</v>
      </c>
    </row>
    <row r="117" spans="1:4" ht="12.75">
      <c r="A117" t="s">
        <v>11</v>
      </c>
      <c r="B117" s="4">
        <f>IF(E91&lt;E88,+B76*0.195/(E88/2),(0.0506*E93/E91+0.5)/(PI()*E93*E91))</f>
        <v>4.5295275590551185</v>
      </c>
      <c r="C117" t="s">
        <v>40</v>
      </c>
      <c r="D117" t="s">
        <v>72</v>
      </c>
    </row>
    <row r="118" ht="12.75">
      <c r="B118" s="4"/>
    </row>
    <row r="119" spans="1:2" ht="12.75">
      <c r="A119" s="12" t="s">
        <v>66</v>
      </c>
      <c r="B119" s="4"/>
    </row>
    <row r="120" spans="1:2" ht="12.75">
      <c r="A120" t="s">
        <v>12</v>
      </c>
      <c r="B120" s="4"/>
    </row>
    <row r="121" spans="2:4" ht="12.75">
      <c r="B121" s="4">
        <f>1.135*B76*((2*E94+E93)/2)/((E88+2*E94)*E93+(E88*E93-E93^2))</f>
        <v>6.123291846583693</v>
      </c>
      <c r="C121" t="s">
        <v>40</v>
      </c>
      <c r="D121" t="s">
        <v>73</v>
      </c>
    </row>
    <row r="122" spans="1:2" ht="12.75">
      <c r="A122" t="s">
        <v>13</v>
      </c>
      <c r="B122" s="4"/>
    </row>
    <row r="123" spans="2:4" ht="12.75">
      <c r="B123" s="4">
        <f>IF(E91&lt;E88,+B76*E94/(PI()*(E88*E93-E93^2)),+1.135*B76*((2*E94+E93)/2)/((E88+2*E94)*E93+(E88*E93-E93^2)))</f>
        <v>2.1509272194523867</v>
      </c>
      <c r="C123" t="s">
        <v>40</v>
      </c>
      <c r="D123" t="s">
        <v>74</v>
      </c>
    </row>
    <row r="124" spans="1:6" ht="12.75">
      <c r="A124" s="1"/>
      <c r="B124" s="6"/>
      <c r="C124" s="1"/>
      <c r="E124" s="1"/>
      <c r="F124" s="1"/>
    </row>
    <row r="125" spans="1:2" ht="12.75">
      <c r="A125" s="12" t="s">
        <v>67</v>
      </c>
      <c r="B125" s="4"/>
    </row>
    <row r="126" spans="1:2" ht="12.75">
      <c r="A126" t="s">
        <v>14</v>
      </c>
      <c r="B126" s="4"/>
    </row>
    <row r="127" spans="2:3" ht="12.75">
      <c r="B127" s="4">
        <f>B83-(B113+B112+B121+B117+B116+B123)</f>
        <v>35.9423448483307</v>
      </c>
      <c r="C127" t="s">
        <v>40</v>
      </c>
    </row>
    <row r="128" spans="1:2" ht="12.75">
      <c r="A128" s="12" t="s">
        <v>68</v>
      </c>
      <c r="B128" s="9"/>
    </row>
    <row r="129" spans="1:6" ht="12.75">
      <c r="A129" t="s">
        <v>15</v>
      </c>
      <c r="B129" s="4">
        <f>E129/0.0254</f>
        <v>8.355081595341336</v>
      </c>
      <c r="C129" t="s">
        <v>35</v>
      </c>
      <c r="E129" s="4">
        <f>B127*PI()*(E88*E93-E93^2)/B76</f>
        <v>0.2122190725216699</v>
      </c>
      <c r="F129" t="s">
        <v>36</v>
      </c>
    </row>
  </sheetData>
  <sheetProtection password="DEAF" sheet="1" objects="1" scenarios="1"/>
  <mergeCells count="3">
    <mergeCell ref="A67:G67"/>
    <mergeCell ref="A100:IV100"/>
    <mergeCell ref="A1:IV1"/>
  </mergeCells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Eliutin</dc:creator>
  <cp:keywords/>
  <dc:description/>
  <cp:lastModifiedBy>Andrei Eliutin</cp:lastModifiedBy>
  <dcterms:created xsi:type="dcterms:W3CDTF">1998-02-03T11:05:34Z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