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Dart</author>
  </authors>
  <commentList>
    <comment ref="E12" authorId="0">
      <text>
        <r>
          <rPr>
            <b/>
            <sz val="8"/>
            <rFont val="Tahoma"/>
            <family val="0"/>
          </rPr>
          <t>Введите внутренний диаметр сердечника в сантиметрах.</t>
        </r>
      </text>
    </comment>
    <comment ref="B7" authorId="0">
      <text>
        <r>
          <rPr>
            <b/>
            <sz val="8"/>
            <rFont val="Tahoma"/>
            <family val="0"/>
          </rPr>
          <t>Введите высоту  сердечника в сантиметрах.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Введите внешний диаметр сердечника в сантиметрах.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Сила тока в первичной обмотке. </t>
        </r>
        <r>
          <rPr>
            <sz val="8"/>
            <rFont val="Tahoma"/>
            <family val="2"/>
          </rPr>
          <t>Вычисляемое значение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Колличество витков для сердечников марок Э310, Э320, Э330. Данные с учетом потерь в 3% на сопротивление провода.</t>
        </r>
        <r>
          <rPr>
            <sz val="8"/>
            <rFont val="Tahoma"/>
            <family val="0"/>
          </rPr>
          <t xml:space="preserve">
Вычисляемое значение</t>
        </r>
      </text>
    </comment>
    <comment ref="Q5" authorId="0">
      <text>
        <r>
          <rPr>
            <b/>
            <sz val="8"/>
            <rFont val="Tahoma"/>
            <family val="0"/>
          </rPr>
          <t>КПД трансформатора, от его мощности.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Допустимая плотность тока в обмотках.</t>
        </r>
      </text>
    </comment>
    <comment ref="O5" authorId="0">
      <text>
        <r>
          <rPr>
            <b/>
            <sz val="8"/>
            <rFont val="Tahoma"/>
            <family val="0"/>
          </rPr>
          <t>Коэффициент габаритной мощности трансформатора от площади сечения его сердечника.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Коэффициент для расчета колличества витков от площади сечения сердечника.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Колличество витков на один вольт.</t>
        </r>
        <r>
          <rPr>
            <sz val="8"/>
            <rFont val="Tahoma"/>
            <family val="0"/>
          </rPr>
          <t xml:space="preserve">
Вычисляемое значение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Диаметр провода. </t>
        </r>
        <r>
          <rPr>
            <sz val="8"/>
            <rFont val="Tahoma"/>
            <family val="2"/>
          </rPr>
          <t>Вычисляемое значение.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Мощность вторичных обмоток. </t>
        </r>
        <r>
          <rPr>
            <sz val="8"/>
            <rFont val="Tahoma"/>
            <family val="2"/>
          </rPr>
          <t>Вычисляемое значение.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0"/>
          </rPr>
          <t>Габаритная мощность трансформатора, как произведение допустимой мощности сердечника, на КПД.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<sst xmlns="http://schemas.openxmlformats.org/spreadsheetml/2006/main" count="41" uniqueCount="41">
  <si>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D=</t>
  </si>
  <si>
    <t>d=</t>
  </si>
  <si>
    <t>h=</t>
  </si>
  <si>
    <r>
      <t>P</t>
    </r>
    <r>
      <rPr>
        <b/>
        <i/>
        <sz val="10"/>
        <color indexed="12"/>
        <rFont val="Arial Cyr"/>
        <family val="2"/>
      </rPr>
      <t>габ=</t>
    </r>
  </si>
  <si>
    <r>
      <t>S</t>
    </r>
    <r>
      <rPr>
        <b/>
        <i/>
        <sz val="10"/>
        <color indexed="12"/>
        <rFont val="Arial Cyr"/>
        <family val="2"/>
      </rPr>
      <t>сеч=</t>
    </r>
  </si>
  <si>
    <t>Ргаб, вт</t>
  </si>
  <si>
    <t>до 10</t>
  </si>
  <si>
    <t xml:space="preserve">    , a/mm2</t>
  </si>
  <si>
    <t>n, %</t>
  </si>
  <si>
    <t>w /S</t>
  </si>
  <si>
    <t>S, Коэфф</t>
  </si>
  <si>
    <t>Введите свои значения:</t>
  </si>
  <si>
    <t>U, вольт</t>
  </si>
  <si>
    <t>I, ампер</t>
  </si>
  <si>
    <t>d, мм.</t>
  </si>
  <si>
    <t>W, вит.</t>
  </si>
  <si>
    <t>w, вит/V</t>
  </si>
  <si>
    <r>
      <t>Площадь сечения сердечника (</t>
    </r>
    <r>
      <rPr>
        <i/>
        <sz val="10"/>
        <rFont val="Arial Cyr"/>
        <family val="2"/>
      </rPr>
      <t>см2</t>
    </r>
    <r>
      <rPr>
        <sz val="10"/>
        <rFont val="Arial Cyr"/>
        <family val="0"/>
      </rPr>
      <t>):</t>
    </r>
  </si>
  <si>
    <t>51-120</t>
  </si>
  <si>
    <t>11-30</t>
  </si>
  <si>
    <t>31-50</t>
  </si>
  <si>
    <t>121-250</t>
  </si>
  <si>
    <t>251-1000</t>
  </si>
  <si>
    <t>Ргаб</t>
  </si>
  <si>
    <t>w/вольт</t>
  </si>
  <si>
    <t>Промежуточные данные.</t>
  </si>
  <si>
    <t>А/мм</t>
  </si>
  <si>
    <t>КПД</t>
  </si>
  <si>
    <t>Расчет тороидальных трансформаторов</t>
  </si>
  <si>
    <t>© В.Крупенькин</t>
  </si>
  <si>
    <r>
      <t>Р</t>
    </r>
    <r>
      <rPr>
        <b/>
        <sz val="9"/>
        <color indexed="57"/>
        <rFont val="Arial Cyr"/>
        <family val="2"/>
      </rPr>
      <t>, вт.</t>
    </r>
  </si>
  <si>
    <r>
      <t>Габаритная мощность трансформатора с учетом КПД, (</t>
    </r>
    <r>
      <rPr>
        <i/>
        <sz val="10"/>
        <rFont val="Arial Cyr"/>
        <family val="2"/>
      </rPr>
      <t>вт</t>
    </r>
    <r>
      <rPr>
        <sz val="10"/>
        <rFont val="Arial Cyr"/>
        <family val="0"/>
      </rPr>
      <t>):</t>
    </r>
  </si>
  <si>
    <t>Данный расчет взят из журнала "Радио" №3, 1972г., автор Г.Мартынихин. Исправлен и дополнен.</t>
  </si>
  <si>
    <t>Типовые данные, для расчета тороидальных тансформаторов мощностью до 1000вт.</t>
  </si>
  <si>
    <r>
      <t>Примечание.</t>
    </r>
    <r>
      <rPr>
        <sz val="10"/>
        <color indexed="12"/>
        <rFont val="Arial Cyr"/>
        <family val="2"/>
      </rPr>
      <t xml:space="preserve"> Данные результаты верны для сердечников из железа марок Э310, Э320, Э330 с толщиной ленты 0,35-0,5мм. Для железа марок Э340, Э350 и Э360, с толщиной ленты 0,08, 0,15, 0,2мм, данные о количестве витков нужно уменьшить. При мощности тр-ра до 10вт - на 7%, от 10вт до 50вт - на 12% и от 50вт и выше - на 14%.</t>
    </r>
  </si>
  <si>
    <t xml:space="preserve"> первичная обмотка</t>
  </si>
  <si>
    <t xml:space="preserve"> вторичная обмотка №1</t>
  </si>
  <si>
    <t xml:space="preserve"> вторичная обмотка №2</t>
  </si>
  <si>
    <t xml:space="preserve"> вторичная обмотка №3</t>
  </si>
  <si>
    <t xml:space="preserve"> вторичная обмотка №4</t>
  </si>
  <si>
    <t xml:space="preserve"> вторичная обмотка №5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</si>
</sst>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1">
    <font>
      <sz val="10"/>
      <name val="Arial Cyr"/>
      <family val="0"/>
    </font>
    <font>
      <b/>
      <sz val="12"/>
      <color indexed="12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color indexed="12"/>
      <name val="Arial Cyr"/>
      <family val="2"/>
    </font>
    <font>
      <b/>
      <i/>
      <sz val="12"/>
      <color indexed="10"/>
      <name val="Arial Cyr"/>
      <family val="2"/>
    </font>
    <font>
      <b/>
      <i/>
      <sz val="10"/>
      <color indexed="12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  <font>
      <b/>
      <sz val="16"/>
      <color indexed="48"/>
      <name val="Arial Cyr"/>
      <family val="2"/>
    </font>
    <font>
      <b/>
      <sz val="14"/>
      <color indexed="10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10"/>
      <color indexed="4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7"/>
      <name val="Arial Cyr"/>
      <family val="2"/>
    </font>
    <font>
      <sz val="9"/>
      <color indexed="57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Border="1" applyAlignment="1" applyProtection="1">
      <alignment horizontal="center"/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/>
      <protection hidden="1"/>
    </xf>
    <xf numFmtId="165" fontId="14" fillId="0" borderId="0" xfId="0" applyNumberFormat="1" applyFont="1" applyAlignment="1" applyProtection="1">
      <alignment/>
      <protection hidden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8" fillId="2" borderId="2" xfId="0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2" fontId="10" fillId="2" borderId="2" xfId="0" applyNumberFormat="1" applyFont="1" applyFill="1" applyBorder="1" applyAlignment="1" applyProtection="1">
      <alignment horizontal="right"/>
      <protection hidden="1"/>
    </xf>
    <xf numFmtId="2" fontId="3" fillId="3" borderId="2" xfId="0" applyNumberFormat="1" applyFont="1" applyFill="1" applyBorder="1" applyAlignment="1" applyProtection="1">
      <alignment horizontal="right"/>
      <protection locked="0"/>
    </xf>
    <xf numFmtId="164" fontId="10" fillId="2" borderId="2" xfId="0" applyNumberFormat="1" applyFont="1" applyFill="1" applyBorder="1" applyAlignment="1" applyProtection="1">
      <alignment horizontal="right"/>
      <protection hidden="1"/>
    </xf>
    <xf numFmtId="165" fontId="10" fillId="2" borderId="2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Fill="1" applyBorder="1" applyAlignment="1" applyProtection="1">
      <alignment horizontal="right"/>
      <protection hidden="1"/>
    </xf>
    <xf numFmtId="165" fontId="10" fillId="0" borderId="0" xfId="0" applyNumberFormat="1" applyFont="1" applyFill="1" applyBorder="1" applyAlignment="1" applyProtection="1">
      <alignment horizontal="right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2" fontId="7" fillId="4" borderId="7" xfId="0" applyNumberFormat="1" applyFont="1" applyFill="1" applyBorder="1" applyAlignment="1" applyProtection="1">
      <alignment horizontal="left"/>
      <protection hidden="1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6" fillId="5" borderId="6" xfId="0" applyFont="1" applyFill="1" applyBorder="1" applyAlignment="1">
      <alignment horizontal="right"/>
    </xf>
    <xf numFmtId="2" fontId="7" fillId="5" borderId="7" xfId="0" applyNumberFormat="1" applyFont="1" applyFill="1" applyBorder="1" applyAlignment="1" applyProtection="1">
      <alignment horizontal="left"/>
      <protection hidden="1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2" fontId="6" fillId="3" borderId="9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3" fillId="3" borderId="3" xfId="0" applyFont="1" applyFill="1" applyBorder="1" applyAlignment="1" applyProtection="1">
      <alignment horizontal="left" vertical="top" wrapText="1"/>
      <protection/>
    </xf>
    <xf numFmtId="0" fontId="3" fillId="3" borderId="4" xfId="0" applyFont="1" applyFill="1" applyBorder="1" applyAlignment="1" applyProtection="1">
      <alignment horizontal="left" vertical="top" wrapText="1"/>
      <protection/>
    </xf>
    <xf numFmtId="0" fontId="3" fillId="3" borderId="5" xfId="0" applyFont="1" applyFill="1" applyBorder="1" applyAlignment="1" applyProtection="1">
      <alignment horizontal="left" vertical="top" wrapText="1"/>
      <protection/>
    </xf>
    <xf numFmtId="0" fontId="3" fillId="3" borderId="13" xfId="0" applyFont="1" applyFill="1" applyBorder="1" applyAlignment="1" applyProtection="1">
      <alignment horizontal="left" vertical="top" wrapText="1"/>
      <protection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3" fillId="3" borderId="14" xfId="0" applyFont="1" applyFill="1" applyBorder="1" applyAlignment="1" applyProtection="1">
      <alignment horizontal="left" vertical="top" wrapText="1"/>
      <protection/>
    </xf>
    <xf numFmtId="0" fontId="3" fillId="3" borderId="6" xfId="0" applyFont="1" applyFill="1" applyBorder="1" applyAlignment="1" applyProtection="1">
      <alignment horizontal="left" vertical="top" wrapText="1"/>
      <protection/>
    </xf>
    <xf numFmtId="0" fontId="3" fillId="3" borderId="7" xfId="0" applyFont="1" applyFill="1" applyBorder="1" applyAlignment="1" applyProtection="1">
      <alignment horizontal="left" vertical="top" wrapText="1"/>
      <protection/>
    </xf>
    <xf numFmtId="0" fontId="3" fillId="3" borderId="8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>
      <alignment horizontal="center" wrapText="1"/>
    </xf>
    <xf numFmtId="0" fontId="16" fillId="3" borderId="0" xfId="15" applyFill="1" applyAlignment="1">
      <alignment horizontal="left"/>
    </xf>
    <xf numFmtId="0" fontId="15" fillId="0" borderId="0" xfId="0" applyFont="1" applyAlignment="1">
      <alignment horizontal="right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2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142875</xdr:rowOff>
    </xdr:from>
    <xdr:to>
      <xdr:col>6</xdr:col>
      <xdr:colOff>400050</xdr:colOff>
      <xdr:row>14</xdr:row>
      <xdr:rowOff>161925</xdr:rowOff>
    </xdr:to>
    <xdr:grpSp>
      <xdr:nvGrpSpPr>
        <xdr:cNvPr id="1" name="Group 49"/>
        <xdr:cNvGrpSpPr>
          <a:grpSpLocks/>
        </xdr:cNvGrpSpPr>
      </xdr:nvGrpSpPr>
      <xdr:grpSpPr>
        <a:xfrm>
          <a:off x="581025" y="523875"/>
          <a:ext cx="4010025" cy="2114550"/>
          <a:chOff x="53" y="55"/>
          <a:chExt cx="373" cy="227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131" y="55"/>
            <a:ext cx="295" cy="132"/>
            <a:chOff x="687" y="100"/>
            <a:chExt cx="289" cy="13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687" y="100"/>
              <a:ext cx="289" cy="132"/>
            </a:xfrm>
            <a:prstGeom prst="can">
              <a:avLst>
                <a:gd name="adj" fmla="val 0"/>
              </a:avLst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" name="Oval 3"/>
            <xdr:cNvSpPr>
              <a:spLocks/>
            </xdr:cNvSpPr>
          </xdr:nvSpPr>
          <xdr:spPr>
            <a:xfrm>
              <a:off x="755" y="115"/>
              <a:ext cx="151" cy="35"/>
            </a:xfrm>
            <a:prstGeom prst="ellipse">
              <a:avLst/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5" name="Line 7"/>
          <xdr:cNvSpPr>
            <a:spLocks/>
          </xdr:cNvSpPr>
        </xdr:nvSpPr>
        <xdr:spPr>
          <a:xfrm flipH="1">
            <a:off x="198" y="228"/>
            <a:ext cx="157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31" y="157"/>
            <a:ext cx="0" cy="12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426" y="156"/>
            <a:ext cx="0" cy="1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131" y="269"/>
            <a:ext cx="294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 flipV="1">
            <a:off x="53" y="88"/>
            <a:ext cx="78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 flipH="1">
            <a:off x="53" y="160"/>
            <a:ext cx="78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63" y="88"/>
            <a:ext cx="0" cy="72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>
            <a:off x="199" y="88"/>
            <a:ext cx="0" cy="146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>
            <a:off x="356" y="88"/>
            <a:ext cx="0" cy="146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4</xdr:row>
      <xdr:rowOff>57150</xdr:rowOff>
    </xdr:from>
    <xdr:to>
      <xdr:col>15</xdr:col>
      <xdr:colOff>142875</xdr:colOff>
      <xdr:row>4</xdr:row>
      <xdr:rowOff>114300</xdr:rowOff>
    </xdr:to>
    <xdr:sp>
      <xdr:nvSpPr>
        <xdr:cNvPr id="14" name="AutoShape 32"/>
        <xdr:cNvSpPr>
          <a:spLocks/>
        </xdr:cNvSpPr>
      </xdr:nvSpPr>
      <xdr:spPr>
        <a:xfrm>
          <a:off x="10696575" y="762000"/>
          <a:ext cx="76200" cy="57150"/>
        </a:xfrm>
        <a:prstGeom prst="triangle">
          <a:avLst>
            <a:gd name="adj" fmla="val 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3</xdr:row>
      <xdr:rowOff>9525</xdr:rowOff>
    </xdr:from>
    <xdr:to>
      <xdr:col>10</xdr:col>
      <xdr:colOff>676275</xdr:colOff>
      <xdr:row>9</xdr:row>
      <xdr:rowOff>19050</xdr:rowOff>
    </xdr:to>
    <xdr:sp>
      <xdr:nvSpPr>
        <xdr:cNvPr id="15" name="AutoShape 64"/>
        <xdr:cNvSpPr>
          <a:spLocks/>
        </xdr:cNvSpPr>
      </xdr:nvSpPr>
      <xdr:spPr>
        <a:xfrm>
          <a:off x="4867275" y="552450"/>
          <a:ext cx="3009900" cy="1028700"/>
        </a:xfrm>
        <a:prstGeom prst="wedgeRectCallout">
          <a:avLst>
            <a:gd name="adj1" fmla="val -74458"/>
            <a:gd name="adj2" fmla="val 8333"/>
          </a:avLst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тороидальные трансформаторы обозначаются так, например: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ОЛ50/80-40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,
где 50 - внутренний диаметр, d;
      80 - внешний диаметр, D;
      40 - высота сердечника, 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tline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0">
      <selection activeCell="F21" sqref="F21"/>
    </sheetView>
  </sheetViews>
  <sheetFormatPr defaultColWidth="9.00390625" defaultRowHeight="12.75"/>
  <cols>
    <col min="5" max="5" width="10.00390625" style="0" bestFit="1" customWidth="1"/>
    <col min="8" max="8" width="9.75390625" style="0" bestFit="1" customWidth="1"/>
    <col min="9" max="9" width="11.75390625" style="0" bestFit="1" customWidth="1"/>
  </cols>
  <sheetData>
    <row r="1" spans="3:13" ht="18.75" customHeight="1">
      <c r="C1" s="8" t="s">
        <v>28</v>
      </c>
      <c r="E1" s="7"/>
      <c r="F1" s="7"/>
      <c r="G1" s="7"/>
      <c r="H1" s="7"/>
      <c r="I1" s="7"/>
      <c r="J1" s="7"/>
      <c r="K1" s="7"/>
      <c r="L1" s="7"/>
      <c r="M1" s="7"/>
    </row>
    <row r="2" spans="1:11" ht="11.25" customHeight="1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6" t="s">
        <v>29</v>
      </c>
      <c r="K2" s="66"/>
    </row>
    <row r="3" spans="13:22" ht="12.75" customHeight="1">
      <c r="M3" s="65" t="s">
        <v>33</v>
      </c>
      <c r="N3" s="65"/>
      <c r="O3" s="65"/>
      <c r="P3" s="65"/>
      <c r="Q3" s="65"/>
      <c r="R3" s="12"/>
      <c r="S3" s="13" t="s">
        <v>25</v>
      </c>
      <c r="T3" s="14"/>
      <c r="U3" s="14"/>
      <c r="V3" s="14"/>
    </row>
    <row r="4" spans="13:22" ht="12.75">
      <c r="M4" s="65"/>
      <c r="N4" s="65"/>
      <c r="O4" s="65"/>
      <c r="P4" s="65"/>
      <c r="Q4" s="65"/>
      <c r="R4" s="14"/>
      <c r="S4" s="14"/>
      <c r="T4" s="14"/>
      <c r="U4" s="14"/>
      <c r="V4" s="14"/>
    </row>
    <row r="5" spans="13:22" ht="12.75">
      <c r="M5" s="21" t="s">
        <v>5</v>
      </c>
      <c r="N5" s="21" t="s">
        <v>9</v>
      </c>
      <c r="O5" s="21" t="s">
        <v>10</v>
      </c>
      <c r="P5" s="21" t="s">
        <v>7</v>
      </c>
      <c r="Q5" s="21" t="s">
        <v>8</v>
      </c>
      <c r="R5" s="15"/>
      <c r="S5" s="15" t="s">
        <v>23</v>
      </c>
      <c r="T5" s="16" t="s">
        <v>24</v>
      </c>
      <c r="U5" s="15" t="s">
        <v>26</v>
      </c>
      <c r="V5" s="15" t="s">
        <v>27</v>
      </c>
    </row>
    <row r="6" spans="13:22" ht="12.75">
      <c r="M6" s="22" t="s">
        <v>6</v>
      </c>
      <c r="N6" s="23">
        <v>41</v>
      </c>
      <c r="O6" s="23">
        <v>1</v>
      </c>
      <c r="P6" s="23">
        <v>4.5</v>
      </c>
      <c r="Q6" s="24">
        <v>0.8</v>
      </c>
      <c r="R6" s="17"/>
      <c r="S6" s="17">
        <f>IF(OR(3.16227&gt;I12)*OR(I12&gt;0.5),POWER(O6*I12,2),0)</f>
        <v>0</v>
      </c>
      <c r="T6" s="17">
        <f>IF(OR(9.99&gt;S6)*OR(S6&gt;0.01),N6/I12,0)</f>
        <v>0</v>
      </c>
      <c r="U6" s="17">
        <f>IF(OR(9.99&gt;S6)*OR(S6&gt;0.1),VALUE(P6),0)</f>
        <v>0</v>
      </c>
      <c r="V6" s="18">
        <f>IF(OR(9.99&gt;S6)*OR(S6&gt;0.1),VALUE(Q6),0)</f>
        <v>0</v>
      </c>
    </row>
    <row r="7" spans="1:22" ht="15.75">
      <c r="A7" s="1" t="s">
        <v>2</v>
      </c>
      <c r="B7" s="50">
        <v>5</v>
      </c>
      <c r="M7" s="25" t="s">
        <v>19</v>
      </c>
      <c r="N7" s="23">
        <v>36</v>
      </c>
      <c r="O7" s="23">
        <v>1.1</v>
      </c>
      <c r="P7" s="23">
        <v>4</v>
      </c>
      <c r="Q7" s="24">
        <v>0.9</v>
      </c>
      <c r="R7" s="17"/>
      <c r="S7" s="17">
        <f>IF(OR(4.97929&gt;I12)*OR(I12&gt;3.16228),POWER(O7*I12,2),0)</f>
        <v>0</v>
      </c>
      <c r="T7" s="17">
        <f>IF(OR(29.99&gt;S7)*OR(S7&gt;10),N7/I12,0)</f>
        <v>0</v>
      </c>
      <c r="U7" s="17">
        <f>IF(OR(29.99&gt;S7)*OR(S7&gt;10),VALUE(P7),0)</f>
        <v>0</v>
      </c>
      <c r="V7" s="18">
        <f>IF(OR(29.99&gt;S7)*OR(S7&gt;10),VALUE(Q7),0)</f>
        <v>0</v>
      </c>
    </row>
    <row r="8" spans="8:22" ht="13.5" customHeight="1">
      <c r="H8" s="1"/>
      <c r="M8" s="22" t="s">
        <v>20</v>
      </c>
      <c r="N8" s="23">
        <v>33.3</v>
      </c>
      <c r="O8" s="23">
        <v>1.2</v>
      </c>
      <c r="P8" s="23">
        <v>3.5</v>
      </c>
      <c r="Q8" s="24">
        <v>0.92</v>
      </c>
      <c r="R8" s="17"/>
      <c r="S8" s="17">
        <f>IF(OR(5.89255&gt;I12)*OR(I12&gt;4.9793),POWER(O8*I12,2),0)</f>
        <v>0</v>
      </c>
      <c r="T8" s="17">
        <f>IF(OR(49.99&gt;S8)*OR(S8&gt;30),N8/I12,0)</f>
        <v>0</v>
      </c>
      <c r="U8" s="17">
        <f>IF(OR(49.99&gt;S8)*OR(S8&gt;30),VALUE(P8),0)</f>
        <v>0</v>
      </c>
      <c r="V8" s="18">
        <f>IF(OR(49.99&gt;S8)*OR(S8&gt;30),VALUE(Q8),0)</f>
        <v>0</v>
      </c>
    </row>
    <row r="9" spans="13:22" ht="12.75">
      <c r="M9" s="22" t="s">
        <v>18</v>
      </c>
      <c r="N9" s="23">
        <v>32</v>
      </c>
      <c r="O9" s="23">
        <v>1.25</v>
      </c>
      <c r="P9" s="23">
        <v>3</v>
      </c>
      <c r="Q9" s="24">
        <v>0.95</v>
      </c>
      <c r="R9" s="17"/>
      <c r="S9" s="17">
        <f>IF(OR(8.7635&gt;I12)*OR(I12&gt;5.89256),POWER(O9*I12,2),0)</f>
        <v>0</v>
      </c>
      <c r="T9" s="17">
        <f>IF(OR(119.99&gt;S9)*OR(S9&gt;50),N9/I12,0)</f>
        <v>0</v>
      </c>
      <c r="U9" s="17">
        <f>IF(OR(119.99&gt;S9)*OR(S9&gt;50),VALUE(P9),0)</f>
        <v>0</v>
      </c>
      <c r="V9" s="18">
        <f>IF(OR(119.99&gt;S9)*OR(S9&gt;50),VALUE(Q9),0)</f>
        <v>0</v>
      </c>
    </row>
    <row r="10" spans="13:22" ht="12.75">
      <c r="M10" s="22" t="s">
        <v>21</v>
      </c>
      <c r="N10" s="23">
        <v>31</v>
      </c>
      <c r="O10" s="23">
        <v>1.27</v>
      </c>
      <c r="P10" s="23">
        <v>2.7</v>
      </c>
      <c r="Q10" s="24">
        <v>0.96</v>
      </c>
      <c r="R10" s="17"/>
      <c r="S10" s="17">
        <f>IF(OR(12.4499&gt;I12)*OR(I12&gt;8.7636),POWER(O10*I12,2),0)</f>
        <v>161.29</v>
      </c>
      <c r="T10" s="17">
        <f>IF(OR(249.99&gt;S10)*OR(S10&gt;120),N10/I12,0)</f>
        <v>3.1</v>
      </c>
      <c r="U10" s="17">
        <f>IF(OR(249.99&gt;S10)*OR(S10&gt;120),VALUE(P10),0)</f>
        <v>2.7</v>
      </c>
      <c r="V10" s="18">
        <f>IF(OR(249.99&gt;S10)*OR(S10&gt;120),VALUE(Q10),0)</f>
        <v>0.96</v>
      </c>
    </row>
    <row r="11" spans="8:22" ht="12.75">
      <c r="H11" s="39" t="s">
        <v>17</v>
      </c>
      <c r="I11" s="40"/>
      <c r="J11" s="40"/>
      <c r="K11" s="41"/>
      <c r="M11" s="22" t="s">
        <v>22</v>
      </c>
      <c r="N11" s="23">
        <v>30</v>
      </c>
      <c r="O11" s="23">
        <v>1.28</v>
      </c>
      <c r="P11" s="23">
        <v>2.5</v>
      </c>
      <c r="Q11" s="24">
        <v>0.965</v>
      </c>
      <c r="R11" s="17"/>
      <c r="S11" s="17">
        <f>IF(OR(1000&gt;I12)*OR(I12&gt;12.45),POWER(O11*I12,2),0)</f>
        <v>0</v>
      </c>
      <c r="T11" s="17">
        <f>IF(OR(100000&gt;S11)*OR(S11&gt;250),N11/I12,0)</f>
        <v>0</v>
      </c>
      <c r="U11" s="17">
        <f>IF(OR(100000&gt;S11)*OR(S11&gt;250),VALUE(P11),0)</f>
        <v>0</v>
      </c>
      <c r="V11" s="18">
        <f>IF(OR(100000&gt;S11)*OR(S11&gt;250),VALUE(Q11),0)</f>
        <v>0</v>
      </c>
    </row>
    <row r="12" spans="4:22" ht="15.75" customHeight="1">
      <c r="D12" s="9" t="s">
        <v>1</v>
      </c>
      <c r="E12" s="50">
        <v>8</v>
      </c>
      <c r="H12" s="42" t="s">
        <v>4</v>
      </c>
      <c r="I12" s="43">
        <f>((E14-E12)/2)*B7</f>
        <v>10</v>
      </c>
      <c r="J12" s="44"/>
      <c r="K12" s="45"/>
      <c r="L12" s="2"/>
      <c r="M12" s="51"/>
      <c r="N12" s="51"/>
      <c r="O12" s="51"/>
      <c r="P12" s="51"/>
      <c r="Q12" s="51"/>
      <c r="R12" s="19"/>
      <c r="S12" s="19">
        <f>SUM(S6:S11)</f>
        <v>161.29</v>
      </c>
      <c r="T12" s="19">
        <f>SUM(T6:T11)</f>
        <v>3.1</v>
      </c>
      <c r="U12" s="19">
        <f>SUM(U6:U11)</f>
        <v>2.7</v>
      </c>
      <c r="V12" s="20">
        <f>SUM(V6:V11)</f>
        <v>0.96</v>
      </c>
    </row>
    <row r="13" spans="4:11" ht="15" customHeight="1">
      <c r="D13" s="10"/>
      <c r="E13" s="11"/>
      <c r="H13" s="68" t="s">
        <v>31</v>
      </c>
      <c r="I13" s="69"/>
      <c r="J13" s="69"/>
      <c r="K13" s="70"/>
    </row>
    <row r="14" spans="4:21" ht="15.75">
      <c r="D14" s="9" t="s">
        <v>0</v>
      </c>
      <c r="E14" s="50">
        <v>12</v>
      </c>
      <c r="H14" s="71"/>
      <c r="I14" s="72"/>
      <c r="J14" s="72"/>
      <c r="K14" s="73"/>
      <c r="L14" s="2"/>
      <c r="R14" s="2"/>
      <c r="S14" s="2"/>
      <c r="T14" s="2"/>
      <c r="U14" s="2"/>
    </row>
    <row r="15" spans="8:19" ht="15.75">
      <c r="H15" s="46" t="s">
        <v>3</v>
      </c>
      <c r="I15" s="47">
        <f>S12</f>
        <v>161.29</v>
      </c>
      <c r="J15" s="48"/>
      <c r="K15" s="49"/>
      <c r="L15" s="2"/>
      <c r="R15" s="3"/>
      <c r="S15" s="4"/>
    </row>
    <row r="16" spans="7:11" ht="18">
      <c r="G16" s="5"/>
      <c r="H16" s="5"/>
      <c r="I16" s="5"/>
      <c r="J16" s="5"/>
      <c r="K16" s="6" t="str">
        <f>IF(G19&gt;I15,"Превышение габаритной мощности!"," ")</f>
        <v> </v>
      </c>
    </row>
    <row r="18" spans="2:10" ht="12.75" customHeight="1">
      <c r="B18" s="75" t="s">
        <v>11</v>
      </c>
      <c r="C18" s="75"/>
      <c r="D18" s="75"/>
      <c r="E18" s="26" t="s">
        <v>12</v>
      </c>
      <c r="F18" s="26" t="s">
        <v>13</v>
      </c>
      <c r="G18" s="26" t="s">
        <v>30</v>
      </c>
      <c r="H18" s="26" t="s">
        <v>14</v>
      </c>
      <c r="I18" s="26" t="s">
        <v>16</v>
      </c>
      <c r="J18" s="26" t="s">
        <v>15</v>
      </c>
    </row>
    <row r="19" spans="2:10" ht="12" customHeight="1">
      <c r="B19" s="52" t="s">
        <v>35</v>
      </c>
      <c r="C19" s="53"/>
      <c r="D19" s="54"/>
      <c r="E19" s="27">
        <v>220</v>
      </c>
      <c r="F19" s="28">
        <f>1.1*(SUM(G20:G22)/E19)</f>
        <v>0.8020833333333335</v>
      </c>
      <c r="G19" s="30">
        <f>SUM(G20:G24)</f>
        <v>160.41666666666669</v>
      </c>
      <c r="H19" s="31">
        <f>1.13*(SQRT(F19/U12))</f>
        <v>0.6158944739859417</v>
      </c>
      <c r="I19" s="74">
        <f>SUM(T6:T11)</f>
        <v>3.1</v>
      </c>
      <c r="J19" s="30">
        <f>I19*E19</f>
        <v>682</v>
      </c>
    </row>
    <row r="20" spans="2:10" ht="12" customHeight="1">
      <c r="B20" s="55" t="s">
        <v>36</v>
      </c>
      <c r="C20" s="55"/>
      <c r="D20" s="55"/>
      <c r="E20" s="27">
        <v>22</v>
      </c>
      <c r="F20" s="29">
        <v>7</v>
      </c>
      <c r="G20" s="30">
        <f>(E20*F20)/V12</f>
        <v>160.41666666666669</v>
      </c>
      <c r="H20" s="31">
        <f>1.13*(SQRT(F20/U12))</f>
        <v>1.8194728581326738</v>
      </c>
      <c r="I20" s="74"/>
      <c r="J20" s="30">
        <f>(I19*E20)*1.03</f>
        <v>70.24600000000001</v>
      </c>
    </row>
    <row r="21" spans="2:10" ht="12" customHeight="1">
      <c r="B21" s="55" t="s">
        <v>37</v>
      </c>
      <c r="C21" s="55"/>
      <c r="D21" s="55"/>
      <c r="E21" s="27">
        <v>0</v>
      </c>
      <c r="F21" s="29">
        <v>0</v>
      </c>
      <c r="G21" s="30">
        <f>(E21*F21)/V12</f>
        <v>0</v>
      </c>
      <c r="H21" s="31">
        <f>1.13*(SQRT(F21/U12))</f>
        <v>0</v>
      </c>
      <c r="I21" s="74"/>
      <c r="J21" s="30">
        <f>(I19*E21)*1.03</f>
        <v>0</v>
      </c>
    </row>
    <row r="22" spans="2:10" ht="12" customHeight="1">
      <c r="B22" s="55" t="s">
        <v>38</v>
      </c>
      <c r="C22" s="55"/>
      <c r="D22" s="55"/>
      <c r="E22" s="27">
        <v>0</v>
      </c>
      <c r="F22" s="29">
        <v>0</v>
      </c>
      <c r="G22" s="30">
        <f>(E22*F22)/V12</f>
        <v>0</v>
      </c>
      <c r="H22" s="31">
        <f>1.13*(SQRT(F22/U12))</f>
        <v>0</v>
      </c>
      <c r="I22" s="74"/>
      <c r="J22" s="30">
        <f>(I19*E22)*1.03</f>
        <v>0</v>
      </c>
    </row>
    <row r="23" spans="2:10" ht="12" customHeight="1">
      <c r="B23" s="55" t="s">
        <v>39</v>
      </c>
      <c r="C23" s="55"/>
      <c r="D23" s="55"/>
      <c r="E23" s="27">
        <v>0</v>
      </c>
      <c r="F23" s="29">
        <v>0</v>
      </c>
      <c r="G23" s="30">
        <f>(E23*F23)/V12</f>
        <v>0</v>
      </c>
      <c r="H23" s="31">
        <f>1.13*(SQRT(F23/U12))</f>
        <v>0</v>
      </c>
      <c r="I23" s="74"/>
      <c r="J23" s="30">
        <f>(I20*E23)*1.03</f>
        <v>0</v>
      </c>
    </row>
    <row r="24" spans="2:10" ht="12" customHeight="1">
      <c r="B24" s="55" t="s">
        <v>40</v>
      </c>
      <c r="C24" s="55"/>
      <c r="D24" s="55"/>
      <c r="E24" s="27">
        <v>0</v>
      </c>
      <c r="F24" s="29">
        <v>0</v>
      </c>
      <c r="G24" s="30">
        <f>(E24*F24)/V12</f>
        <v>0</v>
      </c>
      <c r="H24" s="31">
        <f>1.13*(SQRT(F24/U12))</f>
        <v>0</v>
      </c>
      <c r="I24" s="74"/>
      <c r="J24" s="30">
        <f>(I21*E24)*1.03</f>
        <v>0</v>
      </c>
    </row>
    <row r="25" spans="2:10" s="32" customFormat="1" ht="3" customHeight="1">
      <c r="B25" s="33"/>
      <c r="C25" s="33"/>
      <c r="D25" s="33"/>
      <c r="E25" s="34"/>
      <c r="F25" s="35"/>
      <c r="G25" s="36"/>
      <c r="H25" s="37"/>
      <c r="I25" s="38"/>
      <c r="J25" s="36"/>
    </row>
    <row r="26" spans="2:10" ht="18" customHeight="1">
      <c r="B26" s="56" t="s">
        <v>34</v>
      </c>
      <c r="C26" s="57"/>
      <c r="D26" s="57"/>
      <c r="E26" s="57"/>
      <c r="F26" s="57"/>
      <c r="G26" s="57"/>
      <c r="H26" s="57"/>
      <c r="I26" s="57"/>
      <c r="J26" s="58"/>
    </row>
    <row r="27" spans="2:10" ht="26.25" customHeight="1">
      <c r="B27" s="59"/>
      <c r="C27" s="60"/>
      <c r="D27" s="60"/>
      <c r="E27" s="60"/>
      <c r="F27" s="60"/>
      <c r="G27" s="60"/>
      <c r="H27" s="60"/>
      <c r="I27" s="60"/>
      <c r="J27" s="61"/>
    </row>
    <row r="28" spans="2:10" ht="12.75">
      <c r="B28" s="62"/>
      <c r="C28" s="63"/>
      <c r="D28" s="63"/>
      <c r="E28" s="63"/>
      <c r="F28" s="63"/>
      <c r="G28" s="63"/>
      <c r="H28" s="63"/>
      <c r="I28" s="63"/>
      <c r="J28" s="64"/>
    </row>
  </sheetData>
  <sheetProtection password="CAF0" sheet="1" objects="1" scenarios="1"/>
  <mergeCells count="13">
    <mergeCell ref="B26:J28"/>
    <mergeCell ref="M3:Q4"/>
    <mergeCell ref="J2:K2"/>
    <mergeCell ref="A2:I2"/>
    <mergeCell ref="B21:D21"/>
    <mergeCell ref="H13:K14"/>
    <mergeCell ref="I19:I24"/>
    <mergeCell ref="B18:D18"/>
    <mergeCell ref="B20:D20"/>
    <mergeCell ref="B19:D19"/>
    <mergeCell ref="B22:D22"/>
    <mergeCell ref="B23:D23"/>
    <mergeCell ref="B24:D24"/>
  </mergeCells>
  <hyperlinks>
    <hyperlink ref="J2" r:id="rId1" display="© В.Крупенькин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Dart</dc:creator>
  <cp:keywords/>
  <dc:description/>
  <cp:lastModifiedBy>Dart</cp:lastModifiedBy>
  <dcterms:created xsi:type="dcterms:W3CDTF">2003-01-06T19:10:39Z</dcterms:created>
  <dcterms:modified xsi:type="dcterms:W3CDTF">2004-01-07T20:12:23Z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