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850" tabRatio="603" activeTab="0"/>
  </bookViews>
  <sheets>
    <sheet name="Calculations" sheetId="1" r:id="rId1"/>
    <sheet name="Empty" sheetId="2" r:id="rId2"/>
    <sheet name="Empty2" sheetId="3" r:id="rId3"/>
  </sheets>
  <definedNames>
    <definedName name="_xlnm.Print_Area" localSheetId="0">'Calculations'!$A$1:$T$28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<sst xmlns="http://schemas.openxmlformats.org/spreadsheetml/2006/main" count="102" uniqueCount="82">
  <si>
    <t>Enter Information Below</t>
  </si>
  <si>
    <t>Volts</t>
  </si>
  <si>
    <t>W</t>
  </si>
  <si>
    <t>Watts</t>
  </si>
  <si>
    <r>
      <t>k</t>
    </r>
    <r>
      <rPr>
        <sz val="10"/>
        <rFont val="Symbol"/>
        <family val="1"/>
      </rPr>
      <t>W</t>
    </r>
  </si>
  <si>
    <t>Last Update:</t>
  </si>
  <si>
    <t>A</t>
  </si>
  <si>
    <r>
      <t>I</t>
    </r>
    <r>
      <rPr>
        <vertAlign val="subscript"/>
        <sz val="10"/>
        <rFont val="Arial"/>
        <family val="2"/>
      </rPr>
      <t>peak</t>
    </r>
    <r>
      <rPr>
        <sz val="10"/>
        <rFont val="Arial"/>
        <family val="0"/>
      </rPr>
      <t xml:space="preserve"> in Load =</t>
    </r>
  </si>
  <si>
    <t>C</t>
  </si>
  <si>
    <r>
      <t>V</t>
    </r>
    <r>
      <rPr>
        <vertAlign val="subscript"/>
        <sz val="10"/>
        <rFont val="Arial"/>
        <family val="2"/>
      </rPr>
      <t>peak</t>
    </r>
    <r>
      <rPr>
        <sz val="10"/>
        <rFont val="Arial"/>
        <family val="0"/>
      </rPr>
      <t xml:space="preserve"> at Load =</t>
    </r>
  </si>
  <si>
    <t>C/W</t>
  </si>
  <si>
    <r>
      <t>m</t>
    </r>
    <r>
      <rPr>
        <sz val="10"/>
        <rFont val="Arial"/>
        <family val="0"/>
      </rPr>
      <t>F</t>
    </r>
  </si>
  <si>
    <t>Note: All calculations on this spreadsheet are approximate calculations. Performance should be verified using the evaluation board.</t>
  </si>
  <si>
    <t>V/V</t>
  </si>
  <si>
    <t>dB</t>
  </si>
  <si>
    <t>Hz</t>
  </si>
  <si>
    <r>
      <t>Maximum P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</si>
  <si>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t>' TF ' Package =</t>
  </si>
  <si>
    <t>T/TF</t>
  </si>
  <si>
    <t>Vcc/Vee (+/-) =</t>
  </si>
  <si>
    <t>Input Impedance =</t>
  </si>
  <si>
    <r>
      <t>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(Mute)</t>
    </r>
    <r>
      <rPr>
        <sz val="10"/>
        <rFont val="Arial"/>
        <family val="0"/>
      </rPr>
      <t xml:space="preserve"> =</t>
    </r>
  </si>
  <si>
    <t>Assumptions:</t>
  </si>
  <si>
    <r>
      <t>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(feedback) =</t>
    </r>
  </si>
  <si>
    <r>
      <t>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</si>
  <si>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</si>
  <si>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=</t>
    </r>
  </si>
  <si>
    <r>
      <t>*R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0"/>
      </rPr>
      <t xml:space="preserve"> =</t>
    </r>
  </si>
  <si>
    <r>
      <t>*C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0"/>
      </rPr>
      <t xml:space="preserve"> =</t>
    </r>
  </si>
  <si>
    <r>
      <t>*R</t>
    </r>
    <r>
      <rPr>
        <vertAlign val="subscript"/>
        <sz val="10"/>
        <rFont val="Arial"/>
        <family val="2"/>
      </rPr>
      <t>SN</t>
    </r>
    <r>
      <rPr>
        <sz val="10"/>
        <rFont val="Arial"/>
        <family val="0"/>
      </rPr>
      <t xml:space="preserve"> (Snubber) =</t>
    </r>
  </si>
  <si>
    <r>
      <t>*C</t>
    </r>
    <r>
      <rPr>
        <vertAlign val="subscript"/>
        <sz val="10"/>
        <rFont val="Arial"/>
        <family val="2"/>
      </rPr>
      <t>SN</t>
    </r>
    <r>
      <rPr>
        <sz val="10"/>
        <rFont val="Arial"/>
        <family val="0"/>
      </rPr>
      <t xml:space="preserve"> (Snubber) =</t>
    </r>
  </si>
  <si>
    <r>
      <t>Enter T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</si>
  <si>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RMS</t>
    </r>
  </si>
  <si>
    <t>Input for 1% Output =</t>
  </si>
  <si>
    <r>
      <t xml:space="preserve">1% THD Output </t>
    </r>
    <r>
      <rPr>
        <sz val="10"/>
        <rFont val="Symbol"/>
        <family val="1"/>
      </rPr>
      <t>@</t>
    </r>
  </si>
  <si>
    <t>*Optional Components</t>
  </si>
  <si>
    <t>Lower -3dB cutoff =</t>
  </si>
  <si>
    <t>Abs. Max Voltage =</t>
  </si>
  <si>
    <t>Voltage Headroom =</t>
  </si>
  <si>
    <t>2. Amplifier is designed in the non-inverting configuration.</t>
  </si>
  <si>
    <t>3. Amplfier is using a positive (+) and negative (-) supply voltage.</t>
  </si>
  <si>
    <t>Power Dissipation</t>
  </si>
  <si>
    <r>
      <t xml:space="preserve">and </t>
    </r>
    <r>
      <rPr>
        <b/>
        <sz val="12"/>
        <rFont val="Arial"/>
        <family val="2"/>
      </rPr>
      <t>Thermal Design</t>
    </r>
  </si>
  <si>
    <t>Mono Parts</t>
  </si>
  <si>
    <t>Calculations</t>
  </si>
  <si>
    <t>Stereo Parts</t>
  </si>
  <si>
    <t>Bridge Load =</t>
  </si>
  <si>
    <r>
      <t xml:space="preserve">Bridge Power </t>
    </r>
    <r>
      <rPr>
        <sz val="10"/>
        <rFont val="Symbol"/>
        <family val="1"/>
      </rPr>
      <t>@</t>
    </r>
  </si>
  <si>
    <t>Parallel Load =</t>
  </si>
  <si>
    <r>
      <t xml:space="preserve">Parallel Power </t>
    </r>
    <r>
      <rPr>
        <sz val="10"/>
        <rFont val="Symbol"/>
        <family val="1"/>
      </rPr>
      <t>@</t>
    </r>
  </si>
  <si>
    <t>LM1876</t>
  </si>
  <si>
    <t>LM4765</t>
  </si>
  <si>
    <t>LM4766</t>
  </si>
  <si>
    <t>LM4700</t>
  </si>
  <si>
    <t>LM4701</t>
  </si>
  <si>
    <t>LM2876</t>
  </si>
  <si>
    <t>LM3875</t>
  </si>
  <si>
    <t>LM3876</t>
  </si>
  <si>
    <t>LM3886</t>
  </si>
  <si>
    <t>5. For use with part numbers listed in the power calculations section above.</t>
  </si>
  <si>
    <r>
      <t xml:space="preserve">Part Number: </t>
    </r>
    <r>
      <rPr>
        <b/>
        <sz val="10"/>
        <rFont val="Arial"/>
        <family val="2"/>
      </rPr>
      <t>LM</t>
    </r>
  </si>
  <si>
    <r>
      <t>Heat Sink Size  (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SA</t>
    </r>
    <r>
      <rPr>
        <sz val="10"/>
        <rFont val="Arial"/>
        <family val="0"/>
      </rPr>
      <t xml:space="preserve"> in C/W)/IC</t>
    </r>
  </si>
  <si>
    <r>
      <t>Total P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/IC </t>
    </r>
    <r>
      <rPr>
        <sz val="10"/>
        <rFont val="Arial"/>
        <family val="0"/>
      </rPr>
      <t>=</t>
    </r>
  </si>
  <si>
    <t>Gain (Not for BTL) =</t>
  </si>
  <si>
    <t>4. Thermal grease is used between the package and heat sink, no isolation washers.</t>
  </si>
  <si>
    <r>
      <t xml:space="preserve">1. Ouput power calculated for </t>
    </r>
    <r>
      <rPr>
        <b/>
        <sz val="10"/>
        <rFont val="Arial"/>
        <family val="0"/>
      </rPr>
      <t>4</t>
    </r>
    <r>
      <rPr>
        <b/>
        <sz val="10"/>
        <rFont val="Symbol"/>
        <family val="1"/>
      </rPr>
      <t>W</t>
    </r>
    <r>
      <rPr>
        <sz val="10"/>
        <rFont val="Arial"/>
        <family val="0"/>
      </rPr>
      <t xml:space="preserve">, </t>
    </r>
    <r>
      <rPr>
        <b/>
        <sz val="10"/>
        <rFont val="Arial"/>
        <family val="0"/>
      </rPr>
      <t>6</t>
    </r>
    <r>
      <rPr>
        <b/>
        <sz val="10"/>
        <rFont val="Symbol"/>
        <family val="1"/>
      </rPr>
      <t>W</t>
    </r>
    <r>
      <rPr>
        <sz val="10"/>
        <rFont val="Arial"/>
        <family val="0"/>
      </rPr>
      <t xml:space="preserve">, and </t>
    </r>
    <r>
      <rPr>
        <b/>
        <sz val="10"/>
        <rFont val="Arial"/>
        <family val="0"/>
      </rPr>
      <t>8</t>
    </r>
    <r>
      <rPr>
        <b/>
        <sz val="10"/>
        <rFont val="Symbol"/>
        <family val="1"/>
      </rPr>
      <t>W</t>
    </r>
    <r>
      <rPr>
        <sz val="10"/>
        <rFont val="Arial"/>
        <family val="2"/>
      </rPr>
      <t xml:space="preserve"> loads for Single Ended Mode.</t>
    </r>
  </si>
  <si>
    <t>for all configurations with loads</t>
  </si>
  <si>
    <t>as listed in the power calculation.</t>
  </si>
  <si>
    <t>Parallel Mode Power Calculation</t>
  </si>
  <si>
    <t>Bridge Mode Power Calculation</t>
  </si>
  <si>
    <t>Number of Power Amps. =</t>
  </si>
  <si>
    <r>
      <t>Number of ICs</t>
    </r>
    <r>
      <rPr>
        <sz val="8"/>
        <rFont val="Arial"/>
        <family val="2"/>
      </rPr>
      <t xml:space="preserve"> (packages)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</si>
  <si>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(</t>
    </r>
    <r>
      <rPr>
        <sz val="10"/>
        <rFont val="Arial"/>
        <family val="2"/>
      </rPr>
      <t>load impedance</t>
    </r>
    <r>
      <rPr>
        <sz val="10"/>
        <rFont val="Arial"/>
        <family val="0"/>
      </rPr>
      <t>) =</t>
    </r>
  </si>
  <si>
    <r>
      <t>If use the load as listed below (2xR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).</t>
    </r>
  </si>
  <si>
    <r>
      <t>If use the load as listed below (R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/X).</t>
    </r>
  </si>
  <si>
    <t>Rev 1.4</t>
  </si>
  <si>
    <t>' TA ' Package =</t>
  </si>
  <si>
    <t>Component names taken from datasheet Figure 4 and External Description Table</t>
  </si>
  <si>
    <r>
      <t xml:space="preserve">An </t>
    </r>
    <r>
      <rPr>
        <b/>
        <sz val="10"/>
        <color indexed="52"/>
        <rFont val="Arial"/>
        <family val="2"/>
      </rPr>
      <t>ORANGE</t>
    </r>
    <r>
      <rPr>
        <sz val="10"/>
        <rFont val="Arial"/>
        <family val="2"/>
      </rPr>
      <t xml:space="preserve"> highlighted cell is a possible design problem. A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highlighted cell is a design error.</t>
    </r>
  </si>
  <si>
    <r>
      <t xml:space="preserve">  Instructions: </t>
    </r>
    <r>
      <rPr>
        <b/>
        <sz val="10"/>
        <rFont val="Arial"/>
        <family val="2"/>
      </rPr>
      <t>BLUE</t>
    </r>
    <r>
      <rPr>
        <sz val="10"/>
        <rFont val="Arial"/>
        <family val="0"/>
      </rPr>
      <t xml:space="preserve"> colored cells are variables that you enter. </t>
    </r>
    <r>
      <rPr>
        <b/>
        <sz val="10"/>
        <rFont val="Arial"/>
        <family val="2"/>
      </rPr>
      <t>YELLOW</t>
    </r>
    <r>
      <rPr>
        <sz val="10"/>
        <rFont val="Arial"/>
        <family val="0"/>
      </rPr>
      <t xml:space="preserve"> colored cells are calculated values based on the the blue cells.</t>
    </r>
  </si>
  <si>
    <t xml:space="preserve">  Warnings/Errors:  </t>
  </si>
  <si>
    <t xml:space="preserve">    Best viewed when monitor is set to 1024x768 resolution or higher.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</si>
</sst>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15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name val="Symbol"/>
      <family val="1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ill="1" applyBorder="1" applyAlignment="1" applyProtection="1">
      <alignment horizontal="center" vertical="center"/>
      <protection hidden="1"/>
    </xf>
    <xf numFmtId="2" fontId="0" fillId="3" borderId="1" xfId="0" applyNumberFormat="1" applyFill="1" applyBorder="1" applyAlignment="1" applyProtection="1">
      <alignment horizontal="center" vertical="center"/>
      <protection hidden="1"/>
    </xf>
    <xf numFmtId="2" fontId="0" fillId="3" borderId="3" xfId="0" applyNumberFormat="1" applyFill="1" applyBorder="1" applyAlignment="1" applyProtection="1">
      <alignment horizontal="center" vertical="center"/>
      <protection hidden="1"/>
    </xf>
    <xf numFmtId="165" fontId="0" fillId="3" borderId="2" xfId="0" applyNumberFormat="1" applyFill="1" applyBorder="1" applyAlignment="1" applyProtection="1">
      <alignment horizontal="center" vertical="center"/>
      <protection hidden="1"/>
    </xf>
    <xf numFmtId="164" fontId="0" fillId="3" borderId="1" xfId="0" applyNumberFormat="1" applyFill="1" applyBorder="1" applyAlignment="1" applyProtection="1">
      <alignment horizontal="center" vertical="center"/>
      <protection hidden="1"/>
    </xf>
    <xf numFmtId="165" fontId="0" fillId="3" borderId="1" xfId="0" applyNumberFormat="1" applyFill="1" applyBorder="1" applyAlignment="1" applyProtection="1">
      <alignment horizontal="center" vertical="center"/>
      <protection hidden="1"/>
    </xf>
    <xf numFmtId="165" fontId="0" fillId="3" borderId="4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4" borderId="5" xfId="0" applyFill="1" applyBorder="1" applyAlignment="1" applyProtection="1">
      <alignment vertical="center"/>
      <protection hidden="1"/>
    </xf>
    <xf numFmtId="0" fontId="0" fillId="0" borderId="0" xfId="0" applyAlignment="1">
      <alignment/>
    </xf>
    <xf numFmtId="2" fontId="0" fillId="3" borderId="4" xfId="0" applyNumberFormat="1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2" fontId="0" fillId="3" borderId="7" xfId="0" applyNumberFormat="1" applyFill="1" applyBorder="1" applyAlignment="1" applyProtection="1">
      <alignment horizontal="center" vertical="center"/>
      <protection hidden="1"/>
    </xf>
    <xf numFmtId="2" fontId="0" fillId="3" borderId="8" xfId="0" applyNumberFormat="1" applyFill="1" applyBorder="1" applyAlignment="1" applyProtection="1">
      <alignment horizontal="center" vertical="center"/>
      <protection hidden="1"/>
    </xf>
    <xf numFmtId="2" fontId="0" fillId="3" borderId="9" xfId="0" applyNumberFormat="1" applyFill="1" applyBorder="1" applyAlignment="1" applyProtection="1">
      <alignment horizontal="center" vertical="center"/>
      <protection hidden="1"/>
    </xf>
    <xf numFmtId="2" fontId="0" fillId="3" borderId="10" xfId="0" applyNumberFormat="1" applyFill="1" applyBorder="1" applyAlignment="1" applyProtection="1">
      <alignment horizontal="center" vertical="center"/>
      <protection hidden="1"/>
    </xf>
    <xf numFmtId="2" fontId="0" fillId="3" borderId="11" xfId="0" applyNumberFormat="1" applyFill="1" applyBorder="1" applyAlignment="1" applyProtection="1">
      <alignment horizontal="center" vertical="center"/>
      <protection hidden="1"/>
    </xf>
    <xf numFmtId="2" fontId="0" fillId="3" borderId="12" xfId="0" applyNumberForma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0" fillId="5" borderId="13" xfId="0" applyFill="1" applyBorder="1" applyAlignment="1" applyProtection="1">
      <alignment horizontal="center" vertical="center"/>
      <protection hidden="1"/>
    </xf>
    <xf numFmtId="0" fontId="0" fillId="5" borderId="14" xfId="0" applyFill="1" applyBorder="1" applyAlignment="1" applyProtection="1">
      <alignment horizontal="center" vertical="center"/>
      <protection hidden="1"/>
    </xf>
    <xf numFmtId="0" fontId="0" fillId="5" borderId="15" xfId="0" applyFill="1" applyBorder="1" applyAlignment="1" applyProtection="1">
      <alignment horizontal="center" vertical="center"/>
      <protection hidden="1"/>
    </xf>
    <xf numFmtId="0" fontId="1" fillId="5" borderId="14" xfId="0" applyFont="1" applyFill="1" applyBorder="1" applyAlignment="1" applyProtection="1">
      <alignment horizontal="center" vertical="center"/>
      <protection hidden="1"/>
    </xf>
    <xf numFmtId="0" fontId="0" fillId="5" borderId="16" xfId="0" applyFill="1" applyBorder="1" applyAlignment="1" applyProtection="1">
      <alignment horizontal="center" vertical="center"/>
      <protection hidden="1"/>
    </xf>
    <xf numFmtId="0" fontId="0" fillId="5" borderId="14" xfId="0" applyFont="1" applyFill="1" applyBorder="1" applyAlignment="1" applyProtection="1">
      <alignment horizontal="center" vertical="center"/>
      <protection hidden="1"/>
    </xf>
    <xf numFmtId="0" fontId="0" fillId="5" borderId="17" xfId="0" applyFill="1" applyBorder="1" applyAlignment="1" applyProtection="1">
      <alignment horizontal="center" vertical="center"/>
      <protection hidden="1"/>
    </xf>
    <xf numFmtId="0" fontId="1" fillId="5" borderId="1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" fillId="5" borderId="13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alignment horizontal="center" vertical="center"/>
      <protection hidden="1"/>
    </xf>
    <xf numFmtId="0" fontId="0" fillId="5" borderId="19" xfId="0" applyFill="1" applyBorder="1" applyAlignment="1" applyProtection="1">
      <alignment horizontal="center" vertical="center"/>
      <protection hidden="1"/>
    </xf>
    <xf numFmtId="0" fontId="5" fillId="5" borderId="13" xfId="0" applyFont="1" applyFill="1" applyBorder="1" applyAlignment="1" applyProtection="1">
      <alignment horizontal="center" vertical="center"/>
      <protection hidden="1"/>
    </xf>
    <xf numFmtId="2" fontId="5" fillId="0" borderId="20" xfId="0" applyNumberFormat="1" applyFont="1" applyFill="1" applyBorder="1" applyAlignment="1" applyProtection="1">
      <alignment vertical="center"/>
      <protection hidden="1"/>
    </xf>
    <xf numFmtId="0" fontId="0" fillId="5" borderId="21" xfId="0" applyFill="1" applyBorder="1" applyAlignment="1" applyProtection="1">
      <alignment horizontal="center" vertical="center"/>
      <protection hidden="1"/>
    </xf>
    <xf numFmtId="0" fontId="0" fillId="5" borderId="8" xfId="0" applyFill="1" applyBorder="1" applyAlignment="1" applyProtection="1">
      <alignment horizontal="center" vertical="center"/>
      <protection hidden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3" borderId="16" xfId="0" applyNumberForma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/>
      <protection hidden="1"/>
    </xf>
    <xf numFmtId="0" fontId="0" fillId="6" borderId="23" xfId="0" applyFont="1" applyFill="1" applyBorder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4" fillId="7" borderId="25" xfId="0" applyFont="1" applyFill="1" applyBorder="1" applyAlignment="1" applyProtection="1">
      <alignment horizontal="center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0" fontId="4" fillId="7" borderId="26" xfId="0" applyFont="1" applyFill="1" applyBorder="1" applyAlignment="1" applyProtection="1">
      <alignment horizontal="center" vertical="center"/>
      <protection hidden="1"/>
    </xf>
    <xf numFmtId="0" fontId="0" fillId="5" borderId="27" xfId="0" applyFill="1" applyBorder="1" applyAlignment="1" applyProtection="1">
      <alignment horizontal="right" vertical="center"/>
      <protection hidden="1"/>
    </xf>
    <xf numFmtId="0" fontId="0" fillId="5" borderId="28" xfId="0" applyFill="1" applyBorder="1" applyAlignment="1" applyProtection="1">
      <alignment horizontal="right" vertical="center"/>
      <protection hidden="1"/>
    </xf>
    <xf numFmtId="0" fontId="5" fillId="7" borderId="29" xfId="0" applyFont="1" applyFill="1" applyBorder="1" applyAlignment="1" applyProtection="1">
      <alignment horizontal="center" vertical="center"/>
      <protection hidden="1"/>
    </xf>
    <xf numFmtId="0" fontId="5" fillId="7" borderId="30" xfId="0" applyFont="1" applyFill="1" applyBorder="1" applyAlignment="1" applyProtection="1">
      <alignment horizontal="center" vertical="center"/>
      <protection hidden="1"/>
    </xf>
    <xf numFmtId="0" fontId="5" fillId="7" borderId="31" xfId="0" applyFont="1" applyFill="1" applyBorder="1" applyAlignment="1" applyProtection="1">
      <alignment horizontal="center" vertical="center"/>
      <protection hidden="1"/>
    </xf>
    <xf numFmtId="0" fontId="0" fillId="5" borderId="32" xfId="0" applyFill="1" applyBorder="1" applyAlignment="1" applyProtection="1">
      <alignment horizontal="right" vertical="center"/>
      <protection hidden="1"/>
    </xf>
    <xf numFmtId="0" fontId="0" fillId="5" borderId="33" xfId="0" applyFill="1" applyBorder="1" applyAlignment="1" applyProtection="1">
      <alignment horizontal="right" vertical="center"/>
      <protection hidden="1"/>
    </xf>
    <xf numFmtId="0" fontId="0" fillId="5" borderId="12" xfId="0" applyFill="1" applyBorder="1" applyAlignment="1" applyProtection="1" quotePrefix="1">
      <alignment horizontal="right" vertical="center"/>
      <protection hidden="1"/>
    </xf>
    <xf numFmtId="0" fontId="0" fillId="5" borderId="4" xfId="0" applyFill="1" applyBorder="1" applyAlignment="1" applyProtection="1">
      <alignment horizontal="right" vertical="center"/>
      <protection hidden="1"/>
    </xf>
    <xf numFmtId="0" fontId="0" fillId="7" borderId="25" xfId="0" applyFont="1" applyFill="1" applyBorder="1" applyAlignment="1" applyProtection="1">
      <alignment horizontal="center" vertical="center"/>
      <protection hidden="1"/>
    </xf>
    <xf numFmtId="0" fontId="0" fillId="7" borderId="0" xfId="0" applyFont="1" applyFill="1" applyAlignment="1" applyProtection="1">
      <alignment horizontal="center" vertical="center"/>
      <protection hidden="1"/>
    </xf>
    <xf numFmtId="0" fontId="0" fillId="7" borderId="24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6" borderId="5" xfId="0" applyFill="1" applyBorder="1" applyAlignment="1" applyProtection="1">
      <alignment vertical="center"/>
      <protection hidden="1"/>
    </xf>
    <xf numFmtId="0" fontId="0" fillId="6" borderId="23" xfId="0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4" fillId="3" borderId="26" xfId="0" applyFont="1" applyFill="1" applyBorder="1" applyAlignment="1" applyProtection="1">
      <alignment horizontal="center" vertical="center"/>
      <protection hidden="1"/>
    </xf>
    <xf numFmtId="0" fontId="0" fillId="5" borderId="35" xfId="0" applyFill="1" applyBorder="1" applyAlignment="1" applyProtection="1">
      <alignment horizontal="right" vertical="center"/>
      <protection hidden="1"/>
    </xf>
    <xf numFmtId="0" fontId="0" fillId="5" borderId="36" xfId="0" applyFill="1" applyBorder="1" applyAlignment="1" applyProtection="1">
      <alignment horizontal="right" vertical="center"/>
      <protection hidden="1"/>
    </xf>
    <xf numFmtId="0" fontId="0" fillId="5" borderId="32" xfId="0" applyFill="1" applyBorder="1" applyAlignment="1" applyProtection="1" quotePrefix="1">
      <alignment horizontal="right" vertical="center"/>
      <protection hidden="1"/>
    </xf>
    <xf numFmtId="0" fontId="0" fillId="5" borderId="33" xfId="0" applyFill="1" applyBorder="1" applyAlignment="1" applyProtection="1" quotePrefix="1">
      <alignment horizontal="right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3" fillId="7" borderId="37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Border="1" applyAlignment="1" applyProtection="1">
      <alignment horizontal="center" vertical="center"/>
      <protection hidden="1"/>
    </xf>
    <xf numFmtId="0" fontId="3" fillId="7" borderId="26" xfId="0" applyFont="1" applyFill="1" applyBorder="1" applyAlignment="1" applyProtection="1">
      <alignment horizontal="center" vertical="center"/>
      <protection hidden="1"/>
    </xf>
    <xf numFmtId="0" fontId="4" fillId="7" borderId="37" xfId="0" applyFont="1" applyFill="1" applyBorder="1" applyAlignment="1" applyProtection="1">
      <alignment horizontal="center" vertical="center"/>
      <protection hidden="1"/>
    </xf>
    <xf numFmtId="0" fontId="4" fillId="7" borderId="2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0" fontId="4" fillId="7" borderId="29" xfId="0" applyFont="1" applyFill="1" applyBorder="1" applyAlignment="1" applyProtection="1">
      <alignment horizontal="center" vertical="center"/>
      <protection hidden="1"/>
    </xf>
    <xf numFmtId="0" fontId="4" fillId="7" borderId="30" xfId="0" applyFont="1" applyFill="1" applyBorder="1" applyAlignment="1" applyProtection="1">
      <alignment horizontal="center" vertical="center"/>
      <protection hidden="1"/>
    </xf>
    <xf numFmtId="0" fontId="5" fillId="7" borderId="25" xfId="0" applyFont="1" applyFill="1" applyBorder="1" applyAlignment="1" applyProtection="1">
      <alignment horizontal="center" vertical="center"/>
      <protection hidden="1"/>
    </xf>
    <xf numFmtId="0" fontId="4" fillId="7" borderId="0" xfId="0" applyFont="1" applyFill="1" applyBorder="1" applyAlignment="1" applyProtection="1">
      <alignment vertical="center"/>
      <protection hidden="1"/>
    </xf>
    <xf numFmtId="0" fontId="0" fillId="5" borderId="38" xfId="0" applyFill="1" applyBorder="1" applyAlignment="1" applyProtection="1">
      <alignment horizontal="right" vertical="center"/>
      <protection hidden="1"/>
    </xf>
    <xf numFmtId="0" fontId="0" fillId="5" borderId="3" xfId="0" applyFill="1" applyBorder="1" applyAlignment="1" applyProtection="1">
      <alignment horizontal="right" vertical="center"/>
      <protection hidden="1"/>
    </xf>
    <xf numFmtId="0" fontId="0" fillId="5" borderId="11" xfId="0" applyFill="1" applyBorder="1" applyAlignment="1" applyProtection="1">
      <alignment horizontal="right" vertical="center"/>
      <protection hidden="1"/>
    </xf>
    <xf numFmtId="0" fontId="0" fillId="5" borderId="2" xfId="0" applyFill="1" applyBorder="1" applyAlignment="1" applyProtection="1">
      <alignment horizontal="right" vertical="center"/>
      <protection hidden="1"/>
    </xf>
    <xf numFmtId="0" fontId="8" fillId="2" borderId="10" xfId="0" applyFont="1" applyFill="1" applyBorder="1" applyAlignment="1" applyProtection="1">
      <alignment horizontal="right" vertical="center"/>
      <protection hidden="1"/>
    </xf>
    <xf numFmtId="0" fontId="8" fillId="2" borderId="1" xfId="0" applyFont="1" applyFill="1" applyBorder="1" applyAlignment="1" applyProtection="1">
      <alignment horizontal="right" vertical="center"/>
      <protection hidden="1"/>
    </xf>
    <xf numFmtId="0" fontId="0" fillId="3" borderId="32" xfId="0" applyFill="1" applyBorder="1" applyAlignment="1" applyProtection="1">
      <alignment horizontal="center" vertical="center"/>
      <protection hidden="1"/>
    </xf>
    <xf numFmtId="0" fontId="0" fillId="3" borderId="23" xfId="0" applyFill="1" applyBorder="1" applyAlignment="1" applyProtection="1">
      <alignment horizontal="center" vertical="center"/>
      <protection hidden="1"/>
    </xf>
    <xf numFmtId="0" fontId="0" fillId="5" borderId="10" xfId="0" applyFill="1" applyBorder="1" applyAlignment="1" applyProtection="1" quotePrefix="1">
      <alignment horizontal="right" vertical="center"/>
      <protection hidden="1"/>
    </xf>
    <xf numFmtId="0" fontId="0" fillId="5" borderId="1" xfId="0" applyFill="1" applyBorder="1" applyAlignment="1" applyProtection="1">
      <alignment horizontal="right" vertical="center"/>
      <protection hidden="1"/>
    </xf>
    <xf numFmtId="0" fontId="0" fillId="7" borderId="39" xfId="0" applyFill="1" applyBorder="1" applyAlignment="1" applyProtection="1">
      <alignment horizontal="center" vertical="center"/>
      <protection hidden="1"/>
    </xf>
    <xf numFmtId="0" fontId="0" fillId="7" borderId="40" xfId="0" applyFill="1" applyBorder="1" applyAlignment="1" applyProtection="1">
      <alignment horizontal="center" vertical="center"/>
      <protection hidden="1"/>
    </xf>
    <xf numFmtId="0" fontId="0" fillId="7" borderId="41" xfId="0" applyFill="1" applyBorder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0" fontId="10" fillId="7" borderId="0" xfId="0" applyFont="1" applyFill="1" applyBorder="1" applyAlignment="1" applyProtection="1">
      <alignment horizontal="left"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24" xfId="0" applyFont="1" applyFill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0" fillId="5" borderId="42" xfId="0" applyFill="1" applyBorder="1" applyAlignment="1" applyProtection="1">
      <alignment horizontal="right" vertical="center"/>
      <protection hidden="1"/>
    </xf>
    <xf numFmtId="0" fontId="0" fillId="2" borderId="32" xfId="0" applyFill="1" applyBorder="1" applyAlignment="1" applyProtection="1">
      <alignment horizontal="right" vertical="center"/>
      <protection hidden="1"/>
    </xf>
    <xf numFmtId="0" fontId="0" fillId="2" borderId="23" xfId="0" applyFill="1" applyBorder="1" applyAlignment="1" applyProtection="1">
      <alignment horizontal="right"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>
      <alignment horizontal="right" vertical="center"/>
    </xf>
    <xf numFmtId="0" fontId="6" fillId="8" borderId="0" xfId="0" applyFont="1" applyFill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535"/>
  <sheetViews>
    <sheetView tabSelected="1" workbookViewId="0" topLeftCell="A1">
      <selection activeCell="D6" sqref="D6"/>
    </sheetView>
  </sheetViews>
  <sheetFormatPr defaultColWidth="9.140625" defaultRowHeight="12.75"/>
  <cols>
    <col min="1" max="1" width="1.8515625" style="0" customWidth="1"/>
    <col min="2" max="2" width="9.28125" style="0" customWidth="1"/>
    <col min="3" max="3" width="10.421875" style="0" customWidth="1"/>
    <col min="4" max="4" width="7.140625" style="0" customWidth="1"/>
    <col min="5" max="5" width="6.8515625" style="0" customWidth="1"/>
    <col min="6" max="6" width="7.00390625" style="0" customWidth="1"/>
    <col min="7" max="7" width="14.140625" style="0" customWidth="1"/>
    <col min="8" max="8" width="4.7109375" style="0" customWidth="1"/>
    <col min="9" max="17" width="7.7109375" style="0" customWidth="1"/>
    <col min="18" max="18" width="8.140625" style="0" customWidth="1"/>
    <col min="19" max="19" width="3.57421875" style="0" customWidth="1"/>
    <col min="20" max="20" width="13.8515625" style="0" customWidth="1"/>
  </cols>
  <sheetData>
    <row r="1" spans="1:32" ht="15.75" customHeight="1">
      <c r="A1" s="13"/>
      <c r="B1" s="121" t="s">
        <v>12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24"/>
      <c r="U1" s="25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 customHeight="1">
      <c r="A2" s="13"/>
      <c r="B2" s="26" t="s">
        <v>75</v>
      </c>
      <c r="C2" s="26" t="s">
        <v>5</v>
      </c>
      <c r="D2" s="27">
        <v>37932</v>
      </c>
      <c r="E2" s="116" t="s">
        <v>79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25"/>
      <c r="U2" s="25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3.5" customHeight="1">
      <c r="A3" s="13"/>
      <c r="B3" s="117" t="s">
        <v>81</v>
      </c>
      <c r="C3" s="118"/>
      <c r="D3" s="118"/>
      <c r="E3" s="118"/>
      <c r="F3" s="118"/>
      <c r="G3" s="118"/>
      <c r="H3" s="119" t="s">
        <v>78</v>
      </c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25"/>
      <c r="U3" s="25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.75" customHeight="1">
      <c r="A4" s="13"/>
      <c r="B4" s="79" t="s">
        <v>0</v>
      </c>
      <c r="C4" s="80"/>
      <c r="D4" s="80"/>
      <c r="E4" s="80"/>
      <c r="F4" s="41"/>
      <c r="G4" s="73" t="s">
        <v>44</v>
      </c>
      <c r="H4" s="74"/>
      <c r="I4" s="84" t="s">
        <v>45</v>
      </c>
      <c r="J4" s="54"/>
      <c r="K4" s="85"/>
      <c r="L4" s="53" t="s">
        <v>43</v>
      </c>
      <c r="M4" s="54"/>
      <c r="N4" s="54"/>
      <c r="O4" s="54"/>
      <c r="P4" s="54"/>
      <c r="Q4" s="55"/>
      <c r="R4" s="114"/>
      <c r="S4" s="113"/>
      <c r="T4" s="15"/>
      <c r="U4" s="25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.75" customHeight="1" thickBot="1">
      <c r="A5" s="13"/>
      <c r="B5" s="81" t="s">
        <v>77</v>
      </c>
      <c r="C5" s="82"/>
      <c r="D5" s="82"/>
      <c r="E5" s="82"/>
      <c r="F5" s="82"/>
      <c r="G5" s="82"/>
      <c r="H5" s="83"/>
      <c r="I5" s="17" t="s">
        <v>50</v>
      </c>
      <c r="J5" s="17" t="s">
        <v>51</v>
      </c>
      <c r="K5" s="38" t="s">
        <v>52</v>
      </c>
      <c r="L5" s="39" t="s">
        <v>53</v>
      </c>
      <c r="M5" s="17" t="s">
        <v>54</v>
      </c>
      <c r="N5" s="17" t="s">
        <v>55</v>
      </c>
      <c r="O5" s="17" t="s">
        <v>56</v>
      </c>
      <c r="P5" s="17" t="s">
        <v>57</v>
      </c>
      <c r="Q5" s="17" t="s">
        <v>58</v>
      </c>
      <c r="R5" s="115"/>
      <c r="S5" s="113"/>
      <c r="T5" s="15"/>
      <c r="U5" s="25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.75" customHeight="1">
      <c r="A6" s="13"/>
      <c r="B6" s="56" t="s">
        <v>60</v>
      </c>
      <c r="C6" s="57"/>
      <c r="D6" s="5">
        <v>3886</v>
      </c>
      <c r="E6" s="40" t="s">
        <v>18</v>
      </c>
      <c r="F6" s="70"/>
      <c r="G6" s="56" t="s">
        <v>9</v>
      </c>
      <c r="H6" s="57"/>
      <c r="I6" s="7">
        <f>+IF($D$6=1876,($D$7-IF($D$10=8,($D$7/7.1)+1,IF($D$10=6,($D$7/4.8+0.6),IF($D$10=4,$D$7/3.7+0.6,$D$7)))),"")</f>
      </c>
      <c r="J6" s="7">
        <f>+IF($D$6=4765,($D$7-IF($D$10=8,($D$7*0.1375)+1,IF($D$10=6,($D$7/5+0.6),IF($D$10=4,$D$7*0.26667+0.6,$D$7)))),"")</f>
      </c>
      <c r="K6" s="18">
        <f>+IF($D$6=4766,($D$7-IF($D$10=8,($D$7/5)-1.3,IF($D$10=6,($D$7/3.5-1.5),IF($D$10=4,$D$7/3-1.1,$D$7)))),"")</f>
      </c>
      <c r="L6" s="21">
        <f>+IF($D$6=4700,($D$7-IF($D$10=8,($D$7*0.1375)+1,IF($D$10=6,($D$7/5+0.6),IF($D$10=4,$D$7*0.26667+0.6,$D$7)))),"")</f>
      </c>
      <c r="M6" s="7">
        <f>+IF($D$6=4701,($D$7-IF($D$10=8,($D$7*0.1375)+1,IF($D$10=6,($D$7/5+0.6),IF($D$10=4,$D$7*0.26667+0.6,$D$7)))),"")</f>
      </c>
      <c r="N6" s="8">
        <f>+IF($D$6=2876,($D$7-IF($D$10=8,($D$7/5)-1.3,IF($D$10=6,($D$7/3.5-1.5),IF($D$10=4,$D$7/3-1.1,$D$7)))),"")</f>
      </c>
      <c r="O6" s="7">
        <f>+IF($D$6=3875,($D$7-IF($D$10=8,($D$7*0.14)-0.17,IF($D$10=6,($D$7*0.15+0.6),IF($D$10=4,$D$7*0.19+0.8,$D$7)))),"")</f>
      </c>
      <c r="P6" s="7">
        <f>+IF($D$6=3876,($D$7-IF($D$10=8,($D$7*0.14)-0.17,IF($D$10=6,($D$7*0.15+0.6),IF($D$10=4,$D$7*0.19+0.8,$D$7)))),"")</f>
      </c>
      <c r="Q6" s="7">
        <f>+IF($D$6=3886,($D$7-IF($D$10=8,$D$7*0.065+1.5,IF($D$10=6,$D$7*0.065+1.2,IF($D$10=4,$D$7*0.12+0.5,$D$7)))),"")</f>
        <v>31.225</v>
      </c>
      <c r="R6" s="28" t="s">
        <v>1</v>
      </c>
      <c r="S6" s="113"/>
      <c r="T6" s="15"/>
      <c r="U6" s="25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.75" customHeight="1">
      <c r="A7" s="13"/>
      <c r="B7" s="61" t="s">
        <v>19</v>
      </c>
      <c r="C7" s="62"/>
      <c r="D7" s="1">
        <v>35</v>
      </c>
      <c r="E7" s="29" t="s">
        <v>1</v>
      </c>
      <c r="F7" s="70"/>
      <c r="G7" s="61" t="s">
        <v>7</v>
      </c>
      <c r="H7" s="62"/>
      <c r="I7" s="19">
        <f>+IF($D$6=1876,(IF(($I$6/$D$10)&lt;3.5101,$I$6/$D$10,IF(($I$6/$D$10)&gt;3.51,3.51))),"")</f>
      </c>
      <c r="J7" s="19">
        <f>+IF($D$6=4765,(IF(($J$6/$D$10)&lt;3.5501,$J$6/$D$10,IF(($J$6/$D$10)&gt;3.55,3.55))),"")</f>
      </c>
      <c r="K7" s="19">
        <f>+IF($D$6=4766,(IF(($K$6/$D$10)&lt;3.8501,$K$6/$D$10,IF(($K$6/$D$10)&gt;3.85,3.85))),"")</f>
      </c>
      <c r="L7" s="22">
        <f>+IF($D$6=4700,(IF(($L$6/$D$10)&lt;3.5501,$L$6/$D$10,IF(($L$6/$D$10)&gt;3.55,3.55))),"")</f>
      </c>
      <c r="M7" s="19">
        <f>+IF($D$6=4701,(IF(($M$6/$D$10)&lt;3.5501,$M$6/$D$10,IF(($M$6/$D$10)&gt;3.55,3.55))),"")</f>
      </c>
      <c r="N7" s="19">
        <f>+IF($D$6=2876,(IF(($N$6/$D$10)&lt;3.8501,$N$6/$D$10,IF(($N$6/$D$10)&gt;3.85,3.85))),"")</f>
      </c>
      <c r="O7" s="19">
        <f>+IF($D$6=3875,(IF(($O$6/$D$10)&lt;5.0001,$O$6/$D$10,IF(($O$6/$D$10)&gt;5,5))),"")</f>
      </c>
      <c r="P7" s="19">
        <f>+IF($D$6=3876,(IF(($P$6/$D$10)&lt;5.0001,$P$6/$D$10,IF(($P$6/$D$10)&gt;5,5))),"")</f>
      </c>
      <c r="Q7" s="19">
        <f>+IF($D$6=3886,(IF(($Q$6/$D$10)&lt;8.0001,$Q$6/$D$10,IF(($Q$6/$D$10)&gt;8,8))),"")</f>
        <v>3.903125</v>
      </c>
      <c r="R7" s="30" t="s">
        <v>6</v>
      </c>
      <c r="S7" s="113"/>
      <c r="T7" s="15"/>
      <c r="U7" s="25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.75" customHeight="1" thickBot="1">
      <c r="A8" s="13"/>
      <c r="B8" s="61" t="s">
        <v>37</v>
      </c>
      <c r="C8" s="62"/>
      <c r="D8" s="11">
        <f>+IF(OR($D$6=3876,$D$6=3875,$D$6=3886),42,IF(OR($D$6=2876,$D$6=4766),37,IF(OR($D$6=1876,$D$6=4765,$D$6=4700,$D$6=4701),32,"ALERT!")))</f>
        <v>42</v>
      </c>
      <c r="E8" s="29" t="s">
        <v>1</v>
      </c>
      <c r="F8" s="70"/>
      <c r="G8" s="61" t="s">
        <v>34</v>
      </c>
      <c r="H8" s="62"/>
      <c r="I8" s="7">
        <f>+IF($D$6=1876,IF($I$7&lt;3.51,($I$7*$I$7/2)*$D$10,IF($I$7=3.51,(3.51*3.51/2)*$D10)),"")</f>
      </c>
      <c r="J8" s="7">
        <f>+IF($D$6=4765,IF($J$7&lt;3.55,($J$7*$J$7/2)*$D$10,IF($J$7=3.55,(3.55*3.55/2)*$D10)),"")</f>
      </c>
      <c r="K8" s="20">
        <f>+IF($D$6=4766,IF($K$7&lt;3.85,($K$7*$K$7/2)*$D$10,IF($K$7=3.85,(3.85*3.85/2)*$D10)),"")</f>
      </c>
      <c r="L8" s="23">
        <f>+IF($D$6=4700,IF($L$7&lt;3.55,($L$7*$L$7/2)*$D$10,IF($L$7=3.55,(3.55*3.55/2)*$D10)),"")</f>
      </c>
      <c r="M8" s="20">
        <f>+IF($D$6=4701,IF($M$7&lt;3.55,($M$7*$M$7/2)*$D$10,IF($M$7=3.55,(3.55*3.55/2)*$D10)),"")</f>
      </c>
      <c r="N8" s="20">
        <f>+IF($D$6=2876,IF($N$7&lt;3.85,($N$7*$N$7/2)*$D$10,IF($N$7=3.85,(3.85*3.85)/2*$D10)),"")</f>
      </c>
      <c r="O8" s="20">
        <f>+IF($D$6=3875,IF($O$7&lt;5,($O$7*$O$7/2)*$D$10,IF($O$7=5,(5*5/2)*$D10)),"")</f>
      </c>
      <c r="P8" s="20">
        <f>+IF($D$6=3876,IF($P$7&lt;5,($P$7*$P$7/2)*$D$10,IF($P$7=5,(5*5/2)*$D10)),"")</f>
      </c>
      <c r="Q8" s="20">
        <f>+IF($D$6=3886,IF($Q$7&lt;8,($Q$7*$Q$7/2)*$D$10,IF($Q$7=8,(8*8/2)*$D10)),"")</f>
        <v>60.93753906250001</v>
      </c>
      <c r="R8" s="32" t="s">
        <v>3</v>
      </c>
      <c r="S8" s="113"/>
      <c r="T8" s="15"/>
      <c r="U8" s="25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.75" customHeight="1" thickBot="1">
      <c r="A9" s="13"/>
      <c r="B9" s="61" t="s">
        <v>38</v>
      </c>
      <c r="C9" s="62"/>
      <c r="D9" s="11">
        <f>+IF($D$8="ALERT!","ALERT!",IF($D$8-$D$7&lt;0,"ALERT!",$D$8-$D$7))</f>
        <v>7</v>
      </c>
      <c r="E9" s="29" t="s">
        <v>1</v>
      </c>
      <c r="F9" s="70"/>
      <c r="G9" s="61" t="s">
        <v>63</v>
      </c>
      <c r="H9" s="62"/>
      <c r="I9" s="7">
        <f>+($D$11/$D$12)+1</f>
        <v>21</v>
      </c>
      <c r="J9" s="34" t="s">
        <v>13</v>
      </c>
      <c r="K9" s="47"/>
      <c r="L9" s="68"/>
      <c r="M9" s="68"/>
      <c r="N9" s="68"/>
      <c r="O9" s="69"/>
      <c r="P9" s="69"/>
      <c r="Q9" s="69"/>
      <c r="R9" s="69"/>
      <c r="S9" s="113"/>
      <c r="T9" s="15"/>
      <c r="U9" s="25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.75" customHeight="1">
      <c r="A10" s="13"/>
      <c r="B10" s="61" t="s">
        <v>72</v>
      </c>
      <c r="C10" s="62"/>
      <c r="D10" s="1">
        <v>8</v>
      </c>
      <c r="E10" s="31" t="s">
        <v>2</v>
      </c>
      <c r="F10" s="70"/>
      <c r="G10" s="61" t="s">
        <v>63</v>
      </c>
      <c r="H10" s="62"/>
      <c r="I10" s="6">
        <f>20*LOG10($I$9)</f>
        <v>26.444385894678387</v>
      </c>
      <c r="J10" s="30" t="s">
        <v>14</v>
      </c>
      <c r="K10" s="87" t="s">
        <v>41</v>
      </c>
      <c r="L10" s="88"/>
      <c r="M10" s="88"/>
      <c r="N10" s="88"/>
      <c r="O10" s="58" t="s">
        <v>69</v>
      </c>
      <c r="P10" s="59"/>
      <c r="Q10" s="59"/>
      <c r="R10" s="60"/>
      <c r="S10" s="11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.75" customHeight="1" thickBot="1">
      <c r="A11" s="13"/>
      <c r="B11" s="61" t="s">
        <v>23</v>
      </c>
      <c r="C11" s="62"/>
      <c r="D11" s="4">
        <v>20</v>
      </c>
      <c r="E11" s="33" t="s">
        <v>4</v>
      </c>
      <c r="F11" s="70"/>
      <c r="G11" s="77" t="s">
        <v>36</v>
      </c>
      <c r="H11" s="78"/>
      <c r="I11" s="9">
        <f>+IF(1/(2*PI()*$D$12*$D$13*0.001)&lt;1/(2*PI()*$D$15*$D$16*0.001),1/(2*PI()*$D$15*$D$16*0.001),1/(2*PI()*$D$12*$D$13*0.001))</f>
        <v>7.957747154594767</v>
      </c>
      <c r="J11" s="30" t="s">
        <v>15</v>
      </c>
      <c r="K11" s="89" t="s">
        <v>42</v>
      </c>
      <c r="L11" s="90"/>
      <c r="M11" s="90"/>
      <c r="N11" s="90"/>
      <c r="O11" s="101" t="s">
        <v>73</v>
      </c>
      <c r="P11" s="102"/>
      <c r="Q11" s="102"/>
      <c r="R11" s="103"/>
      <c r="S11" s="113"/>
      <c r="Y11" s="3"/>
      <c r="Z11" s="3"/>
      <c r="AA11" s="3"/>
      <c r="AB11" s="3"/>
      <c r="AC11" s="3"/>
      <c r="AD11" s="3"/>
      <c r="AE11" s="3"/>
      <c r="AF11" s="3"/>
    </row>
    <row r="12" spans="1:32" ht="15.75" customHeight="1">
      <c r="A12" s="13"/>
      <c r="B12" s="61" t="s">
        <v>26</v>
      </c>
      <c r="C12" s="62"/>
      <c r="D12" s="2">
        <v>1</v>
      </c>
      <c r="E12" s="33" t="s">
        <v>4</v>
      </c>
      <c r="F12" s="70"/>
      <c r="G12" s="61" t="s">
        <v>33</v>
      </c>
      <c r="H12" s="62"/>
      <c r="I12" s="10">
        <f>+SUM($I$6:$Q$6)/$I$9</f>
        <v>1.486904761904762</v>
      </c>
      <c r="J12" s="29" t="s">
        <v>32</v>
      </c>
      <c r="K12" s="65" t="s">
        <v>66</v>
      </c>
      <c r="L12" s="106"/>
      <c r="M12" s="106"/>
      <c r="N12" s="107"/>
      <c r="O12" s="56" t="s">
        <v>46</v>
      </c>
      <c r="P12" s="57"/>
      <c r="Q12" s="8">
        <f>+$D$10*2</f>
        <v>16</v>
      </c>
      <c r="R12" s="37" t="s">
        <v>2</v>
      </c>
      <c r="S12" s="113"/>
      <c r="Y12" s="3"/>
      <c r="Z12" s="3"/>
      <c r="AA12" s="3"/>
      <c r="AB12" s="3"/>
      <c r="AC12" s="3"/>
      <c r="AD12" s="3"/>
      <c r="AE12" s="3"/>
      <c r="AF12" s="3"/>
    </row>
    <row r="13" spans="1:32" ht="15.75" customHeight="1" thickBot="1">
      <c r="A13" s="13"/>
      <c r="B13" s="61" t="s">
        <v>25</v>
      </c>
      <c r="C13" s="62"/>
      <c r="D13" s="2">
        <v>47</v>
      </c>
      <c r="E13" s="31" t="s">
        <v>11</v>
      </c>
      <c r="F13" s="70"/>
      <c r="G13" s="61" t="s">
        <v>21</v>
      </c>
      <c r="H13" s="62"/>
      <c r="I13" s="11">
        <f>IF(OR($D$6=3875,$D$6=1876,AND($D$6&gt;4699,$D$6&lt;&gt;4766)),"NA",IF($D$6=4766,$D$7/2,$D$7))</f>
        <v>35</v>
      </c>
      <c r="J13" s="29" t="s">
        <v>4</v>
      </c>
      <c r="K13" s="65" t="s">
        <v>67</v>
      </c>
      <c r="L13" s="66"/>
      <c r="M13" s="66"/>
      <c r="N13" s="67"/>
      <c r="O13" s="75" t="s">
        <v>47</v>
      </c>
      <c r="P13" s="76"/>
      <c r="Q13" s="16">
        <f>+(((SUM($I$7:$Q$7)^2)/2)*$Q$12)</f>
        <v>121.87507812500002</v>
      </c>
      <c r="R13" s="32" t="s">
        <v>3</v>
      </c>
      <c r="S13" s="113"/>
      <c r="Y13" s="3"/>
      <c r="Z13" s="3"/>
      <c r="AA13" s="3"/>
      <c r="AB13" s="3"/>
      <c r="AC13" s="3"/>
      <c r="AD13" s="3"/>
      <c r="AE13" s="3"/>
      <c r="AF13" s="3"/>
    </row>
    <row r="14" spans="1:32" ht="15.75" customHeight="1">
      <c r="A14" s="13"/>
      <c r="B14" s="61" t="s">
        <v>24</v>
      </c>
      <c r="C14" s="62"/>
      <c r="D14" s="4">
        <v>1</v>
      </c>
      <c r="E14" s="30" t="s">
        <v>4</v>
      </c>
      <c r="F14" s="70"/>
      <c r="G14" s="61" t="s">
        <v>29</v>
      </c>
      <c r="H14" s="62"/>
      <c r="I14" s="11">
        <f>+IF(OR($D$6=3876,$D$6=3886,$D$6=3875),2.7,4.7)</f>
        <v>2.7</v>
      </c>
      <c r="J14" s="31" t="s">
        <v>2</v>
      </c>
      <c r="K14" s="91" t="s">
        <v>16</v>
      </c>
      <c r="L14" s="92"/>
      <c r="M14" s="8">
        <f>+(($D$7*2)^2)/(2*(PI())^2*$D$10)</f>
        <v>31.029612490465944</v>
      </c>
      <c r="N14" s="28" t="s">
        <v>3</v>
      </c>
      <c r="O14" s="58" t="s">
        <v>68</v>
      </c>
      <c r="P14" s="59"/>
      <c r="Q14" s="59"/>
      <c r="R14" s="60"/>
      <c r="S14" s="113"/>
      <c r="Y14" s="3"/>
      <c r="Z14" s="3"/>
      <c r="AA14" s="3"/>
      <c r="AB14" s="3"/>
      <c r="AC14" s="3"/>
      <c r="AD14" s="3"/>
      <c r="AE14" s="3"/>
      <c r="AF14" s="3"/>
    </row>
    <row r="15" spans="1:32" ht="15.75" customHeight="1" thickBot="1">
      <c r="A15" s="13"/>
      <c r="B15" s="61" t="s">
        <v>27</v>
      </c>
      <c r="C15" s="62"/>
      <c r="D15" s="2">
        <v>20</v>
      </c>
      <c r="E15" s="30" t="s">
        <v>4</v>
      </c>
      <c r="F15" s="70"/>
      <c r="G15" s="61" t="s">
        <v>30</v>
      </c>
      <c r="H15" s="62"/>
      <c r="I15" s="11">
        <v>0.1</v>
      </c>
      <c r="J15" s="31" t="s">
        <v>11</v>
      </c>
      <c r="K15" s="93" t="s">
        <v>62</v>
      </c>
      <c r="L15" s="94"/>
      <c r="M15" s="6">
        <f>+IF($D$6=1876,$M$14*2,IF($D$6&lt;4702,$M$14,$M$14*2))</f>
        <v>31.029612490465944</v>
      </c>
      <c r="N15" s="43" t="s">
        <v>3</v>
      </c>
      <c r="O15" s="101" t="s">
        <v>74</v>
      </c>
      <c r="P15" s="102"/>
      <c r="Q15" s="102"/>
      <c r="R15" s="103"/>
      <c r="S15" s="113"/>
      <c r="Z15" s="3"/>
      <c r="AA15" s="3"/>
      <c r="AB15" s="3"/>
      <c r="AC15" s="3"/>
      <c r="AD15" s="3"/>
      <c r="AE15" s="3"/>
      <c r="AF15" s="3"/>
    </row>
    <row r="16" spans="1:32" ht="15.75" customHeight="1" thickBot="1">
      <c r="A16" s="13"/>
      <c r="B16" s="75" t="s">
        <v>28</v>
      </c>
      <c r="C16" s="76"/>
      <c r="D16" s="44">
        <v>1</v>
      </c>
      <c r="E16" s="35" t="s">
        <v>11</v>
      </c>
      <c r="F16" s="70"/>
      <c r="G16" s="75" t="s">
        <v>20</v>
      </c>
      <c r="H16" s="76"/>
      <c r="I16" s="12">
        <f>+$D$15</f>
        <v>20</v>
      </c>
      <c r="J16" s="32" t="s">
        <v>4</v>
      </c>
      <c r="K16" s="95" t="s">
        <v>31</v>
      </c>
      <c r="L16" s="96"/>
      <c r="M16" s="4">
        <v>25</v>
      </c>
      <c r="N16" s="42" t="s">
        <v>8</v>
      </c>
      <c r="O16" s="56" t="s">
        <v>48</v>
      </c>
      <c r="P16" s="57"/>
      <c r="Q16" s="7">
        <f>+IF(OR($D$6=1876,$D$6&gt;4701),$D$10/$R$18/2,IF($R$18=1,"ALERT!",$D$10/$R$18))</f>
        <v>4</v>
      </c>
      <c r="R16" s="31" t="s">
        <v>2</v>
      </c>
      <c r="S16" s="113"/>
      <c r="AA16" s="3"/>
      <c r="AB16" s="3"/>
      <c r="AC16" s="3"/>
      <c r="AD16" s="3"/>
      <c r="AE16" s="3"/>
      <c r="AF16" s="3"/>
    </row>
    <row r="17" spans="1:32" ht="15.75" customHeight="1">
      <c r="A17" s="13"/>
      <c r="B17" s="108" t="s">
        <v>35</v>
      </c>
      <c r="C17" s="108"/>
      <c r="D17" s="108"/>
      <c r="E17" s="108"/>
      <c r="F17" s="70"/>
      <c r="G17" s="108" t="s">
        <v>35</v>
      </c>
      <c r="H17" s="108"/>
      <c r="I17" s="108"/>
      <c r="J17" s="108"/>
      <c r="K17" s="97" t="s">
        <v>61</v>
      </c>
      <c r="L17" s="98"/>
      <c r="M17" s="98"/>
      <c r="N17" s="98"/>
      <c r="O17" s="61" t="s">
        <v>49</v>
      </c>
      <c r="P17" s="62"/>
      <c r="Q17" s="7">
        <f>+IF($Q$16&lt;&gt;"ALERT!",(((((SUM($I$7:$Q$7)*$D$10)-(0.1*SUM($I$7:$Q$7)))/$Q$16)^2)/2)*$Q$16,"ALERT!")</f>
        <v>118.84724415283203</v>
      </c>
      <c r="R17" s="29" t="s">
        <v>3</v>
      </c>
      <c r="S17" s="113"/>
      <c r="AA17" s="3"/>
      <c r="AB17" s="3"/>
      <c r="AC17" s="3"/>
      <c r="AD17" s="3"/>
      <c r="AE17" s="3"/>
      <c r="AF17" s="3"/>
    </row>
    <row r="18" spans="1:32" ht="15.75" customHeight="1">
      <c r="A18" s="13"/>
      <c r="B18" s="50"/>
      <c r="C18" s="50"/>
      <c r="D18" s="50"/>
      <c r="E18" s="50"/>
      <c r="F18" s="50"/>
      <c r="G18" s="50"/>
      <c r="H18" s="50"/>
      <c r="I18" s="50"/>
      <c r="J18" s="51"/>
      <c r="K18" s="99" t="s">
        <v>76</v>
      </c>
      <c r="L18" s="100"/>
      <c r="M18" s="7">
        <f>+IF(OR($D$6=3876,$D$6=3886,$D$6=3875,$D$6=4766),((150-$M$16)/$M$15)-1,((150-$M$16)/$M$15)-1.8)</f>
        <v>3.028409959628309</v>
      </c>
      <c r="N18" s="42" t="s">
        <v>10</v>
      </c>
      <c r="O18" s="110" t="s">
        <v>71</v>
      </c>
      <c r="P18" s="111"/>
      <c r="Q18" s="112"/>
      <c r="R18" s="45">
        <v>2</v>
      </c>
      <c r="S18" s="113"/>
      <c r="AA18" s="3"/>
      <c r="AB18" s="3"/>
      <c r="AC18" s="3"/>
      <c r="AD18" s="3"/>
      <c r="AE18" s="3"/>
      <c r="AF18" s="3"/>
    </row>
    <row r="19" spans="1:32" ht="15.75" customHeight="1" thickBot="1">
      <c r="A19" s="104" t="s">
        <v>80</v>
      </c>
      <c r="B19" s="104"/>
      <c r="C19" s="104"/>
      <c r="D19" s="104"/>
      <c r="E19" s="104"/>
      <c r="F19" s="104"/>
      <c r="G19" s="70"/>
      <c r="H19" s="50"/>
      <c r="I19" s="50"/>
      <c r="J19" s="51"/>
      <c r="K19" s="63" t="s">
        <v>17</v>
      </c>
      <c r="L19" s="64"/>
      <c r="M19" s="16">
        <f>+IF(OR($D$6=3876,$D$6=3886,$D$6=3875),((150-$M$16)/$M$15)-2,IF(OR($D$6=2876,$D$6=1876,$D$6=4700,$D$6=4766),((150-$M$16)/$M$15)-2.6,"NA"))</f>
        <v>2.028409959628309</v>
      </c>
      <c r="N19" s="38" t="s">
        <v>10</v>
      </c>
      <c r="O19" s="75" t="s">
        <v>70</v>
      </c>
      <c r="P19" s="109"/>
      <c r="Q19" s="76"/>
      <c r="R19" s="46">
        <f>+IF(OR($D$6=1876,$D$6&gt;4701),$R$18*2,$R$18)</f>
        <v>2</v>
      </c>
      <c r="S19" s="113"/>
      <c r="AA19" s="3"/>
      <c r="AB19" s="3"/>
      <c r="AC19" s="3"/>
      <c r="AD19" s="3"/>
      <c r="AE19" s="3"/>
      <c r="AF19" s="3"/>
    </row>
    <row r="20" spans="1:32" ht="15.75" customHeight="1">
      <c r="A20" s="14">
        <v>1</v>
      </c>
      <c r="B20" s="71">
        <f>+IF($D$8="ALERT!","",IF(AND($D$9&lt;4,$D$9&gt;=0)," Suppy voltage headroom may be too low.",IF($D$8-$D$7&lt;0," Part cannot operate at this voltage!",IF($D$7&lt;10," Supply voltage minimum is +/-10V.",""))))</f>
      </c>
      <c r="C20" s="71"/>
      <c r="D20" s="71"/>
      <c r="E20" s="71"/>
      <c r="F20" s="71"/>
      <c r="G20" s="7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113"/>
      <c r="AA20" s="3"/>
      <c r="AB20" s="3"/>
      <c r="AC20" s="3"/>
      <c r="AD20" s="3"/>
      <c r="AE20" s="3"/>
      <c r="AF20" s="3"/>
    </row>
    <row r="21" spans="1:19" ht="15.75" customHeight="1">
      <c r="A21" s="14">
        <v>2</v>
      </c>
      <c r="B21" s="72">
        <f>+IF(AND($M$18&lt;1,$M$19&lt;1,$D$8&lt;&gt;"ALERT!")," Required heat sink is too large!",IF(AND($M$18&lt;1,$D$8&lt;&gt;"ALERT!")," Required heat sink is too large - TA package!",IF(AND($M$19&lt;1,$D$8&lt;&gt;"ALERT!")," Required heat sink is too large with TF package!","")))</f>
      </c>
      <c r="C21" s="72"/>
      <c r="D21" s="72"/>
      <c r="E21" s="72"/>
      <c r="F21" s="72"/>
      <c r="G21" s="72"/>
      <c r="H21" s="50"/>
      <c r="I21" s="105" t="s">
        <v>22</v>
      </c>
      <c r="J21" s="105"/>
      <c r="K21" s="50"/>
      <c r="L21" s="50"/>
      <c r="M21" s="50"/>
      <c r="N21" s="50"/>
      <c r="O21" s="50"/>
      <c r="P21" s="50"/>
      <c r="Q21" s="50"/>
      <c r="R21" s="50"/>
      <c r="S21" s="113"/>
    </row>
    <row r="22" spans="1:19" ht="15.75" customHeight="1">
      <c r="A22" s="14">
        <v>3</v>
      </c>
      <c r="B22" s="48">
        <f>+IF(OR($I$7&lt;3.51,$J$7&lt;3.55,$K$7&lt;3.85,$L$7&lt;3.55,$M$7&lt;3.55,$N$7&lt;3.85,$O$7&lt;5,$P$7&lt;5,$Q$7&lt;8,$D$8="ALERT!"),""," IC current limit reached!  Output power limited by current.")</f>
      </c>
      <c r="C22" s="48"/>
      <c r="D22" s="48"/>
      <c r="E22" s="48"/>
      <c r="F22" s="48"/>
      <c r="G22" s="48"/>
      <c r="H22" s="50"/>
      <c r="I22" s="49" t="s">
        <v>65</v>
      </c>
      <c r="J22" s="49"/>
      <c r="K22" s="49"/>
      <c r="L22" s="49"/>
      <c r="M22" s="49"/>
      <c r="N22" s="49"/>
      <c r="O22" s="49"/>
      <c r="P22" s="49"/>
      <c r="Q22" s="49"/>
      <c r="R22" s="50"/>
      <c r="S22" s="113"/>
    </row>
    <row r="23" spans="1:19" ht="15.75" customHeight="1">
      <c r="A23" s="14">
        <v>4</v>
      </c>
      <c r="B23" s="48">
        <f>+IF(OR($D$10=4,$D$10=6,$D$10=8,$D$8="ALERT!"),""," Load impedance not supported in output power calculations.")</f>
      </c>
      <c r="C23" s="48"/>
      <c r="D23" s="48"/>
      <c r="E23" s="48"/>
      <c r="F23" s="48"/>
      <c r="G23" s="48"/>
      <c r="H23" s="50"/>
      <c r="I23" s="52" t="s">
        <v>39</v>
      </c>
      <c r="J23" s="52"/>
      <c r="K23" s="52"/>
      <c r="L23" s="52"/>
      <c r="M23" s="52"/>
      <c r="N23" s="52"/>
      <c r="O23" s="52"/>
      <c r="P23" s="52"/>
      <c r="Q23" s="52"/>
      <c r="R23" s="50"/>
      <c r="S23" s="113"/>
    </row>
    <row r="24" spans="1:19" ht="15.75" customHeight="1">
      <c r="A24" s="14">
        <v>5</v>
      </c>
      <c r="B24" s="48">
        <f>+IF(AND($I$9&lt;10,$D$8&lt;&gt;"ALERT!")," Gain is below 10V/V. Circuit may have stability trouble.",IF(AND($I$9&gt;50,$D$8&lt;&gt;"ALERT!")," Gain is higher than the recommended value of 50V/V.",""))</f>
      </c>
      <c r="C24" s="48"/>
      <c r="D24" s="48"/>
      <c r="E24" s="48"/>
      <c r="F24" s="48"/>
      <c r="G24" s="48"/>
      <c r="H24" s="50"/>
      <c r="I24" s="52" t="s">
        <v>40</v>
      </c>
      <c r="J24" s="52"/>
      <c r="K24" s="52"/>
      <c r="L24" s="52"/>
      <c r="M24" s="52"/>
      <c r="N24" s="52"/>
      <c r="O24" s="52"/>
      <c r="P24" s="52"/>
      <c r="Q24" s="52"/>
      <c r="R24" s="50"/>
      <c r="S24" s="113"/>
    </row>
    <row r="25" spans="1:19" ht="15.75" customHeight="1">
      <c r="A25" s="14">
        <v>6</v>
      </c>
      <c r="B25" s="48">
        <f>+IF(OR($D$6=1876,$D$6=4765,$D$6=4766,$D$6=4700,$D$6=4701,$D$6=2876,$D$6=3876,$D$6=3875,$D$6=3886),""," Not a valid part number. Please check part number.")</f>
      </c>
      <c r="C25" s="48"/>
      <c r="D25" s="48"/>
      <c r="E25" s="48"/>
      <c r="F25" s="48"/>
      <c r="G25" s="48"/>
      <c r="H25" s="50"/>
      <c r="I25" s="52" t="s">
        <v>64</v>
      </c>
      <c r="J25" s="52"/>
      <c r="K25" s="52"/>
      <c r="L25" s="52"/>
      <c r="M25" s="52"/>
      <c r="N25" s="52"/>
      <c r="O25" s="52"/>
      <c r="P25" s="52"/>
      <c r="Q25" s="52"/>
      <c r="R25" s="50"/>
      <c r="S25" s="113"/>
    </row>
    <row r="26" spans="1:32" ht="15.75" customHeight="1">
      <c r="A26" s="14">
        <v>7</v>
      </c>
      <c r="B26" s="48">
        <f>+IF($R$18-INT($R$18)&lt;&gt;0," Number of ICs must be an integer number.",IF(AND($D$6&gt;1876,$D$6&lt;4702,$R$18&lt;2)," Need at least two channels of amplification for Parallel Mode.",""))</f>
      </c>
      <c r="C26" s="48"/>
      <c r="D26" s="48"/>
      <c r="E26" s="48"/>
      <c r="F26" s="48"/>
      <c r="G26" s="48"/>
      <c r="H26" s="50"/>
      <c r="I26" s="52" t="s">
        <v>59</v>
      </c>
      <c r="J26" s="52"/>
      <c r="K26" s="52"/>
      <c r="L26" s="52"/>
      <c r="M26" s="52"/>
      <c r="N26" s="52"/>
      <c r="O26" s="52"/>
      <c r="P26" s="52"/>
      <c r="Q26" s="52"/>
      <c r="R26" s="50"/>
      <c r="S26" s="113"/>
      <c r="AB26" s="3"/>
      <c r="AC26" s="3"/>
      <c r="AD26" s="3"/>
      <c r="AE26" s="3"/>
      <c r="AF26" s="3"/>
    </row>
    <row r="27" spans="1:32" ht="15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113"/>
      <c r="AB27" s="3"/>
      <c r="AC27" s="3"/>
      <c r="AD27" s="3"/>
      <c r="AE27" s="3"/>
      <c r="AF27" s="3"/>
    </row>
    <row r="28" spans="1:32" ht="15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AB28" s="3"/>
      <c r="AC28" s="3"/>
      <c r="AD28" s="3"/>
      <c r="AE28" s="3"/>
      <c r="AF28" s="3"/>
    </row>
    <row r="29" spans="1:32" ht="12.75">
      <c r="A29" s="15"/>
      <c r="B29" s="15"/>
      <c r="C29" s="15"/>
      <c r="D29" s="15"/>
      <c r="E29" s="15"/>
      <c r="F29" s="15"/>
      <c r="G29" s="15"/>
      <c r="I29" s="15"/>
      <c r="J29" s="15"/>
      <c r="K29" s="15"/>
      <c r="L29" s="15"/>
      <c r="M29" s="15"/>
      <c r="N29" s="15"/>
      <c r="O29" s="15"/>
      <c r="P29" s="15"/>
      <c r="Q29" s="15"/>
      <c r="AB29" s="3"/>
      <c r="AC29" s="3"/>
      <c r="AD29" s="3"/>
      <c r="AE29" s="3"/>
      <c r="AF29" s="3"/>
    </row>
    <row r="30" spans="1:32" ht="12.75">
      <c r="A30" s="15"/>
      <c r="B30" s="15"/>
      <c r="C30" s="15"/>
      <c r="D30" s="15"/>
      <c r="E30" s="15"/>
      <c r="F30" s="15"/>
      <c r="G30" s="15"/>
      <c r="S30" s="15"/>
      <c r="T30" s="15"/>
      <c r="U30" s="36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2.75">
      <c r="A31" s="15"/>
      <c r="B31" s="15"/>
      <c r="C31" s="15"/>
      <c r="D31" s="15"/>
      <c r="E31" s="15"/>
      <c r="F31" s="15"/>
      <c r="G31" s="15"/>
      <c r="S31" s="15"/>
      <c r="T31" s="15"/>
      <c r="U31" s="36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2.75">
      <c r="A32" s="15"/>
      <c r="B32" s="15"/>
      <c r="C32" s="15"/>
      <c r="D32" s="15"/>
      <c r="E32" s="15"/>
      <c r="F32" s="15"/>
      <c r="G32" s="15"/>
      <c r="S32" s="15"/>
      <c r="T32" s="15"/>
      <c r="U32" s="36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>
      <c r="A33" s="15"/>
      <c r="B33" s="15"/>
      <c r="C33" s="15"/>
      <c r="D33" s="15"/>
      <c r="E33" s="15"/>
      <c r="F33" s="15"/>
      <c r="G33" s="15"/>
      <c r="S33" s="15"/>
      <c r="T33" s="15"/>
      <c r="U33" s="36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>
      <c r="A34" s="15"/>
      <c r="B34" s="15"/>
      <c r="C34" s="15"/>
      <c r="D34" s="15"/>
      <c r="E34" s="15"/>
      <c r="F34" s="15"/>
      <c r="G34" s="15"/>
      <c r="R34" s="15"/>
      <c r="S34" s="15"/>
      <c r="T34" s="15"/>
      <c r="U34" s="36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>
      <c r="A35" s="15"/>
      <c r="B35" s="15"/>
      <c r="C35" s="15"/>
      <c r="D35" s="15"/>
      <c r="E35" s="15"/>
      <c r="F35" s="15"/>
      <c r="G35" s="15"/>
      <c r="I35" s="15"/>
      <c r="J35" s="15"/>
      <c r="K35" s="15"/>
      <c r="Q35" s="15"/>
      <c r="R35" s="15"/>
      <c r="S35" s="15"/>
      <c r="T35" s="15"/>
      <c r="U35" s="36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Q36" s="15"/>
      <c r="R36" s="15"/>
      <c r="S36" s="15"/>
      <c r="T36" s="15"/>
      <c r="U36" s="36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Q37" s="36"/>
      <c r="R37" s="36"/>
      <c r="S37" s="36"/>
      <c r="T37" s="36"/>
      <c r="U37" s="36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Q38" s="36"/>
      <c r="R38" s="36"/>
      <c r="S38" s="36"/>
      <c r="T38" s="36"/>
      <c r="U38" s="36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P39" s="36"/>
      <c r="Q39" s="36"/>
      <c r="R39" s="36"/>
      <c r="S39" s="36"/>
      <c r="T39" s="36"/>
      <c r="U39" s="36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8:32" ht="12.75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8:32" ht="12.75"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8:32" ht="12.75"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8:32" ht="12.75"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8:32" ht="12.75"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8:32" ht="12.75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8:32" ht="12.75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65535" spans="13:14" ht="12.75">
      <c r="M65535" s="86"/>
      <c r="N65535" s="86"/>
    </row>
  </sheetData>
  <sheetProtection password="848D" sheet="1" objects="1" scenarios="1"/>
  <mergeCells count="78">
    <mergeCell ref="H3:S3"/>
    <mergeCell ref="E2:S2"/>
    <mergeCell ref="B3:G3"/>
    <mergeCell ref="B1:S1"/>
    <mergeCell ref="I19:J19"/>
    <mergeCell ref="O19:Q19"/>
    <mergeCell ref="O18:Q18"/>
    <mergeCell ref="S4:S28"/>
    <mergeCell ref="R4:R5"/>
    <mergeCell ref="I20:R20"/>
    <mergeCell ref="O17:P17"/>
    <mergeCell ref="O13:P13"/>
    <mergeCell ref="O12:P12"/>
    <mergeCell ref="A27:R28"/>
    <mergeCell ref="A19:G19"/>
    <mergeCell ref="I21:K21"/>
    <mergeCell ref="K12:N12"/>
    <mergeCell ref="O11:R11"/>
    <mergeCell ref="B13:C13"/>
    <mergeCell ref="B14:C14"/>
    <mergeCell ref="B17:E17"/>
    <mergeCell ref="B16:C16"/>
    <mergeCell ref="B15:C15"/>
    <mergeCell ref="G17:J17"/>
    <mergeCell ref="M65535:N65535"/>
    <mergeCell ref="K10:N10"/>
    <mergeCell ref="K11:N11"/>
    <mergeCell ref="K14:L14"/>
    <mergeCell ref="K15:L15"/>
    <mergeCell ref="K16:L16"/>
    <mergeCell ref="K17:N17"/>
    <mergeCell ref="K18:L18"/>
    <mergeCell ref="L21:R21"/>
    <mergeCell ref="O15:R15"/>
    <mergeCell ref="B9:C9"/>
    <mergeCell ref="G6:H6"/>
    <mergeCell ref="G7:H7"/>
    <mergeCell ref="B7:C7"/>
    <mergeCell ref="B8:C8"/>
    <mergeCell ref="B4:E4"/>
    <mergeCell ref="B5:H5"/>
    <mergeCell ref="I4:K4"/>
    <mergeCell ref="G4:H4"/>
    <mergeCell ref="G12:H12"/>
    <mergeCell ref="G16:H16"/>
    <mergeCell ref="B22:G22"/>
    <mergeCell ref="B6:C6"/>
    <mergeCell ref="B11:C11"/>
    <mergeCell ref="B12:C12"/>
    <mergeCell ref="G11:H11"/>
    <mergeCell ref="G10:H10"/>
    <mergeCell ref="G8:H8"/>
    <mergeCell ref="B23:G23"/>
    <mergeCell ref="B20:G20"/>
    <mergeCell ref="B25:G25"/>
    <mergeCell ref="B24:G24"/>
    <mergeCell ref="B21:G21"/>
    <mergeCell ref="G9:H9"/>
    <mergeCell ref="B10:C10"/>
    <mergeCell ref="K19:L19"/>
    <mergeCell ref="G13:H13"/>
    <mergeCell ref="G14:H14"/>
    <mergeCell ref="G15:H15"/>
    <mergeCell ref="K13:N13"/>
    <mergeCell ref="K9:R9"/>
    <mergeCell ref="F6:F17"/>
    <mergeCell ref="H19:H26"/>
    <mergeCell ref="L4:Q4"/>
    <mergeCell ref="O16:P16"/>
    <mergeCell ref="O10:R10"/>
    <mergeCell ref="O14:R14"/>
    <mergeCell ref="B26:G26"/>
    <mergeCell ref="I22:R22"/>
    <mergeCell ref="B18:J18"/>
    <mergeCell ref="I23:R23"/>
    <mergeCell ref="I24:R24"/>
    <mergeCell ref="I25:R25"/>
    <mergeCell ref="I26:R26"/>
  </mergeCells>
  <conditionalFormatting sqref="I7">
    <cfRule type="cellIs" priority="1" dxfId="0" operator="equal" stopIfTrue="1">
      <formula>3.51</formula>
    </cfRule>
  </conditionalFormatting>
  <conditionalFormatting sqref="N7 K7">
    <cfRule type="cellIs" priority="2" dxfId="0" operator="equal" stopIfTrue="1">
      <formula>3.85</formula>
    </cfRule>
  </conditionalFormatting>
  <conditionalFormatting sqref="J7 L7:M7">
    <cfRule type="cellIs" priority="3" dxfId="0" operator="equal" stopIfTrue="1">
      <formula>3.55</formula>
    </cfRule>
  </conditionalFormatting>
  <conditionalFormatting sqref="O7:P7">
    <cfRule type="cellIs" priority="4" dxfId="0" operator="equal" stopIfTrue="1">
      <formula>5</formula>
    </cfRule>
  </conditionalFormatting>
  <conditionalFormatting sqref="Q7">
    <cfRule type="cellIs" priority="5" dxfId="0" operator="equal" stopIfTrue="1">
      <formula>8</formula>
    </cfRule>
  </conditionalFormatting>
  <conditionalFormatting sqref="M18:M19">
    <cfRule type="cellIs" priority="6" dxfId="1" operator="lessThan" stopIfTrue="1">
      <formula>1</formula>
    </cfRule>
    <cfRule type="cellIs" priority="7" dxfId="0" operator="lessThan" stopIfTrue="1">
      <formula>1.5</formula>
    </cfRule>
  </conditionalFormatting>
  <conditionalFormatting sqref="D6">
    <cfRule type="expression" priority="8" dxfId="1" stopIfTrue="1">
      <formula>+$D$8="ALERT!"</formula>
    </cfRule>
  </conditionalFormatting>
  <conditionalFormatting sqref="D10">
    <cfRule type="expression" priority="9" dxfId="1" stopIfTrue="1">
      <formula>+$B$23=" Load impedance not supported in output power calculations."</formula>
    </cfRule>
  </conditionalFormatting>
  <conditionalFormatting sqref="D11:D12 I9">
    <cfRule type="expression" priority="10" dxfId="0" stopIfTrue="1">
      <formula>+$B$24=" Gain is higher than the recommended value of 50V/V."</formula>
    </cfRule>
    <cfRule type="expression" priority="11" dxfId="0" stopIfTrue="1">
      <formula>+$B$24=" Gain is below 10V/V. Circuit may have stability trouble."</formula>
    </cfRule>
  </conditionalFormatting>
  <conditionalFormatting sqref="D7">
    <cfRule type="cellIs" priority="12" dxfId="1" operator="notBetween" stopIfTrue="1">
      <formula>$D$8</formula>
      <formula>10</formula>
    </cfRule>
    <cfRule type="expression" priority="13" dxfId="0" stopIfTrue="1">
      <formula>+$D$9&lt;4</formula>
    </cfRule>
  </conditionalFormatting>
  <conditionalFormatting sqref="D9">
    <cfRule type="cellIs" priority="14" dxfId="0" operator="lessThan" stopIfTrue="1">
      <formula>4</formula>
    </cfRule>
  </conditionalFormatting>
  <conditionalFormatting sqref="R18">
    <cfRule type="expression" priority="15" dxfId="1" stopIfTrue="1">
      <formula>+$R$18-INT($R$18)&lt;&gt;0</formula>
    </cfRule>
    <cfRule type="expression" priority="16" dxfId="0" stopIfTrue="1">
      <formula>+$B$26=" Need at least two channels of amplification for Parallel Mode."</formula>
    </cfRule>
  </conditionalFormatting>
  <printOptions/>
  <pageMargins left="0.55" right="0.57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Huebner</dc:creator>
  <cp:keywords/>
  <dc:description/>
  <cp:lastModifiedBy>Troy Huebner</cp:lastModifiedBy>
  <cp:lastPrinted>2000-04-24T22:18:25Z</cp:lastPrinted>
  <dcterms:created xsi:type="dcterms:W3CDTF">2000-04-20T19:14:31Z</dcterms:created>
  <cp:category/>
  <cp:version/>
  <cp:contentType/>
  <cp:contentStatus/>
</cp:coreProperties>
</file>