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365" windowWidth="9480" windowHeight="6210" activeTab="0"/>
  </bookViews>
  <sheets>
    <sheet name="bassandroom" sheetId="1" r:id="rId1"/>
    <sheet name="ts data" sheetId="2" r:id="rId2"/>
    <sheet name="ts data (2)" sheetId="3" r:id="rId3"/>
    <sheet name="vent area" sheetId="4" r:id="rId4"/>
  </sheets>
  <definedNames/>
  <calcPr fullCalcOnLoad="1"/>
</workbook>
</file>

<file path=xl/comments1.xml><?xml version="1.0" encoding="utf-8"?>
<comments xmlns="http://schemas.openxmlformats.org/spreadsheetml/2006/main">
  <authors>
    <author>J?rgen Olsson</author>
  </authors>
  <commentList>
    <comment ref="A9" authorId="0">
      <text>
        <r>
          <rPr>
            <b/>
            <sz val="8"/>
            <rFont val="Tahoma"/>
            <family val="0"/>
          </rPr>
          <t>New total Q value due to the series resistance.</t>
        </r>
      </text>
    </comment>
    <comment ref="A11" authorId="0">
      <text>
        <r>
          <rPr>
            <b/>
            <sz val="8"/>
            <rFont val="Tahoma"/>
            <family val="0"/>
          </rPr>
          <t>Internal box volume seen by the driver, in litres.</t>
        </r>
      </text>
    </comment>
    <comment ref="A12" authorId="0">
      <text>
        <r>
          <rPr>
            <b/>
            <sz val="8"/>
            <rFont val="Tahoma"/>
            <family val="0"/>
          </rPr>
          <t>The box alignment. Typical ranges between 0,5-1,5.</t>
        </r>
      </text>
    </comment>
    <comment ref="A13" authorId="0">
      <text>
        <r>
          <rPr>
            <b/>
            <sz val="8"/>
            <rFont val="Tahoma"/>
            <family val="0"/>
          </rPr>
          <t>The resonat frequency for the closed box, in Hz.</t>
        </r>
      </text>
    </comment>
    <comment ref="A14" authorId="0">
      <text>
        <r>
          <rPr>
            <b/>
            <sz val="8"/>
            <rFont val="Tahoma"/>
            <family val="0"/>
          </rPr>
          <t>The -3dB point, in Hz.</t>
        </r>
        <r>
          <rPr>
            <sz val="8"/>
            <rFont val="Tahoma"/>
            <family val="0"/>
          </rPr>
          <t xml:space="preserve">
</t>
        </r>
      </text>
    </comment>
    <comment ref="A15" authorId="0">
      <text>
        <r>
          <rPr>
            <b/>
            <sz val="8"/>
            <rFont val="Tahoma"/>
            <family val="0"/>
          </rPr>
          <t>Don't pay notice to this one - it's only a ratio for computing.</t>
        </r>
      </text>
    </comment>
    <comment ref="A16" authorId="0">
      <text>
        <r>
          <rPr>
            <b/>
            <sz val="8"/>
            <rFont val="Tahoma"/>
            <family val="0"/>
          </rPr>
          <t>Don't pay notice to this one - it's only a ratio for computing.</t>
        </r>
        <r>
          <rPr>
            <sz val="8"/>
            <rFont val="Tahoma"/>
            <family val="0"/>
          </rPr>
          <t xml:space="preserve">
</t>
        </r>
      </text>
    </comment>
    <comment ref="A18" authorId="0">
      <text>
        <r>
          <rPr>
            <b/>
            <sz val="8"/>
            <rFont val="Tahoma"/>
            <family val="0"/>
          </rPr>
          <t>Internal box volume seen by the driver, in litres.</t>
        </r>
        <r>
          <rPr>
            <sz val="8"/>
            <rFont val="Tahoma"/>
            <family val="0"/>
          </rPr>
          <t xml:space="preserve">
</t>
        </r>
      </text>
    </comment>
    <comment ref="A19" authorId="0">
      <text>
        <r>
          <rPr>
            <b/>
            <sz val="8"/>
            <rFont val="Tahoma"/>
            <family val="0"/>
          </rPr>
          <t>The resonant or tuning frequency for the vented box, in Hz.</t>
        </r>
      </text>
    </comment>
    <comment ref="A20" authorId="0">
      <text>
        <r>
          <rPr>
            <b/>
            <sz val="8"/>
            <rFont val="Tahoma"/>
            <family val="0"/>
          </rPr>
          <t>Box losses due to leakages. "Typical" loss figure is Ql = 7</t>
        </r>
      </text>
    </comment>
    <comment ref="A21" authorId="0">
      <text>
        <r>
          <rPr>
            <b/>
            <sz val="8"/>
            <rFont val="Tahoma"/>
            <family val="0"/>
          </rPr>
          <t>The -3dB point, in Hz.</t>
        </r>
      </text>
    </comment>
    <comment ref="A22" authorId="0">
      <text>
        <r>
          <rPr>
            <b/>
            <sz val="8"/>
            <rFont val="Tahoma"/>
            <family val="0"/>
          </rPr>
          <t>The internal diameter of the vent, in cm.</t>
        </r>
      </text>
    </comment>
    <comment ref="A23" authorId="0">
      <text>
        <r>
          <rPr>
            <b/>
            <sz val="8"/>
            <rFont val="Tahoma"/>
            <family val="0"/>
          </rPr>
          <t>Total vent length, in cm.</t>
        </r>
      </text>
    </comment>
    <comment ref="A25" authorId="0">
      <text>
        <r>
          <rPr>
            <b/>
            <sz val="8"/>
            <rFont val="Tahoma"/>
            <family val="0"/>
          </rPr>
          <t>Distance between woofer center and floor, in cm.</t>
        </r>
      </text>
    </comment>
    <comment ref="A26" authorId="0">
      <text>
        <r>
          <rPr>
            <b/>
            <sz val="8"/>
            <rFont val="Tahoma"/>
            <family val="0"/>
          </rPr>
          <t>Distance between woofer center and front wall, in cm.</t>
        </r>
      </text>
    </comment>
    <comment ref="A27" authorId="0">
      <text>
        <r>
          <rPr>
            <b/>
            <sz val="8"/>
            <rFont val="Tahoma"/>
            <family val="0"/>
          </rPr>
          <t>Distance between woofer center and side wall, in cm.</t>
        </r>
      </text>
    </comment>
    <comment ref="A4" authorId="0">
      <text>
        <r>
          <rPr>
            <b/>
            <sz val="8"/>
            <rFont val="Tahoma"/>
            <family val="0"/>
          </rPr>
          <t>Volume of air having the same acoustic compliance as driver suspension, in litres.</t>
        </r>
      </text>
    </comment>
    <comment ref="A5" authorId="0">
      <text>
        <r>
          <rPr>
            <b/>
            <sz val="8"/>
            <rFont val="Tahoma"/>
            <family val="0"/>
          </rPr>
          <t>Driver free-air resonance frequency, in Hz.</t>
        </r>
      </text>
    </comment>
    <comment ref="A6" authorId="0">
      <text>
        <r>
          <rPr>
            <b/>
            <sz val="8"/>
            <rFont val="Tahoma"/>
            <family val="0"/>
          </rPr>
          <t>Total Q value at Fs.</t>
        </r>
      </text>
    </comment>
    <comment ref="A7" authorId="0">
      <text>
        <r>
          <rPr>
            <b/>
            <sz val="8"/>
            <rFont val="Tahoma"/>
            <family val="0"/>
          </rPr>
          <t>Driver DC resistance, in ohm.</t>
        </r>
      </text>
    </comment>
    <comment ref="A8" authorId="0">
      <text>
        <r>
          <rPr>
            <b/>
            <sz val="8"/>
            <rFont val="Tahoma"/>
            <family val="0"/>
          </rPr>
          <t xml:space="preserve">Additional series resistance, typical from speaker cables and xo coils, in ohm. </t>
        </r>
      </text>
    </comment>
  </commentList>
</comments>
</file>

<file path=xl/sharedStrings.xml><?xml version="1.0" encoding="utf-8"?>
<sst xmlns="http://schemas.openxmlformats.org/spreadsheetml/2006/main" count="208" uniqueCount="72">
  <si>
    <t>Woofer:</t>
  </si>
  <si>
    <t>Qts</t>
  </si>
  <si>
    <t>Qtsn</t>
  </si>
  <si>
    <t>Closed box:</t>
  </si>
  <si>
    <t>Qtc</t>
  </si>
  <si>
    <t>Qr</t>
  </si>
  <si>
    <t>Vr</t>
  </si>
  <si>
    <t>Vented box:</t>
  </si>
  <si>
    <t>Fb (Hz)</t>
  </si>
  <si>
    <t>Vb (l)</t>
  </si>
  <si>
    <t>F3 (Hz)</t>
  </si>
  <si>
    <t>Fc (Hz)</t>
  </si>
  <si>
    <t>Vas (l)</t>
  </si>
  <si>
    <t>Fs (Hz)</t>
  </si>
  <si>
    <t>Re (ohm)</t>
  </si>
  <si>
    <t>Series res (ohm)</t>
  </si>
  <si>
    <t>Ql</t>
  </si>
  <si>
    <t>Vent diam (cm)</t>
  </si>
  <si>
    <t>Vent length (cm)</t>
  </si>
  <si>
    <t>Woofer placement:</t>
  </si>
  <si>
    <t>Dist to floor (cm)</t>
  </si>
  <si>
    <t>Dist to side wall (cm)</t>
  </si>
  <si>
    <t>$</t>
  </si>
  <si>
    <t>Dist to back wall (cm)</t>
  </si>
  <si>
    <t>ID, mm</t>
  </si>
  <si>
    <t>radius</t>
  </si>
  <si>
    <t>area, cm^2</t>
  </si>
  <si>
    <t>W26FX002</t>
  </si>
  <si>
    <t>MANUFACTURER</t>
  </si>
  <si>
    <t>SEAS</t>
  </si>
  <si>
    <t>MODEL</t>
  </si>
  <si>
    <t>W26FX002_1</t>
  </si>
  <si>
    <t>DATE</t>
  </si>
  <si>
    <t>Fs</t>
  </si>
  <si>
    <t>Fs Added Mass</t>
  </si>
  <si>
    <t>Fs Known Vol</t>
  </si>
  <si>
    <t>Added Mass</t>
  </si>
  <si>
    <t>Known Vol</t>
  </si>
  <si>
    <t>Diameter</t>
  </si>
  <si>
    <t>ZMax</t>
  </si>
  <si>
    <t>ZMax Added Mass</t>
  </si>
  <si>
    <t>ZMax Known Vol</t>
  </si>
  <si>
    <t>Z F1F2</t>
  </si>
  <si>
    <t>Re</t>
  </si>
  <si>
    <t>Rms</t>
  </si>
  <si>
    <t>Qms</t>
  </si>
  <si>
    <t>Qes</t>
  </si>
  <si>
    <t>Cms</t>
  </si>
  <si>
    <t>Mms</t>
  </si>
  <si>
    <t>BL</t>
  </si>
  <si>
    <t>VAS</t>
  </si>
  <si>
    <t>dBSPL</t>
  </si>
  <si>
    <t>L 1kHz</t>
  </si>
  <si>
    <t>L 10kHz</t>
  </si>
  <si>
    <t>CAS</t>
  </si>
  <si>
    <t>RAS</t>
  </si>
  <si>
    <t>MAS</t>
  </si>
  <si>
    <t>RAT</t>
  </si>
  <si>
    <t>SD</t>
  </si>
  <si>
    <t>LCES</t>
  </si>
  <si>
    <t>CMES</t>
  </si>
  <si>
    <t>RES</t>
  </si>
  <si>
    <t>MMD</t>
  </si>
  <si>
    <t>RMT</t>
  </si>
  <si>
    <t>eta</t>
  </si>
  <si>
    <t>Z Min</t>
  </si>
  <si>
    <t>Z AVG</t>
  </si>
  <si>
    <t>W26FX002-II</t>
  </si>
  <si>
    <t>average</t>
  </si>
  <si>
    <t>data</t>
  </si>
  <si>
    <t>Cms, mm/N</t>
  </si>
  <si>
    <t>Rms, Ns/m</t>
  </si>
</sst>
</file>

<file path=xl/styles.xml><?xml version="1.0" encoding="utf-8"?>
<styleSheet xmlns="http://schemas.openxmlformats.org/spreadsheetml/2006/main">
  <numFmts count="6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&quot;L.&quot;\ #,##0;\-&quot;L.&quot;\ #,##0"/>
    <numFmt numFmtId="205" formatCode="&quot;L.&quot;\ #,##0;[Red]\-&quot;L.&quot;\ #,##0"/>
    <numFmt numFmtId="206" formatCode="&quot;L.&quot;\ #,##0.00;\-&quot;L.&quot;\ #,##0.00"/>
    <numFmt numFmtId="207" formatCode="&quot;L.&quot;\ #,##0.00;[Red]\-&quot;L.&quot;\ #,##0.00"/>
    <numFmt numFmtId="208" formatCode="_-&quot;L.&quot;\ * #,##0_-;\-&quot;L.&quot;\ * #,##0_-;_-&quot;L.&quot;\ * &quot;-&quot;_-;_-@_-"/>
    <numFmt numFmtId="209" formatCode="_-&quot;L.&quot;\ * #,##0.00_-;\-&quot;L.&quot;\ * #,##0.00_-;_-&quot;L.&quot;\ * &quot;-&quot;??_-;_-@_-"/>
    <numFmt numFmtId="210" formatCode="#,##0\ &quot;$&quot;;\-#,##0\ &quot;$&quot;"/>
    <numFmt numFmtId="211" formatCode="#,##0\ &quot;$&quot;;[Red]\-#,##0\ &quot;$&quot;"/>
    <numFmt numFmtId="212" formatCode="#,##0.00\ &quot;$&quot;;\-#,##0.00\ &quot;$&quot;"/>
    <numFmt numFmtId="213" formatCode="#,##0.00\ &quot;$&quot;;[Red]\-#,##0.00\ &quot;$&quot;"/>
    <numFmt numFmtId="214" formatCode="_-* #,##0\ &quot;$&quot;_-;\-* #,##0\ &quot;$&quot;_-;_-* &quot;-&quot;\ &quot;$&quot;_-;_-@_-"/>
    <numFmt numFmtId="215" formatCode="_-* #,##0\ _$_-;\-* #,##0\ _$_-;_-* &quot;-&quot;\ _$_-;_-@_-"/>
    <numFmt numFmtId="216" formatCode="_-* #,##0.00\ &quot;$&quot;_-;\-* #,##0.00\ &quot;$&quot;_-;_-* &quot;-&quot;??\ &quot;$&quot;_-;_-@_-"/>
    <numFmt numFmtId="217" formatCode="_-* #,##0.00\ _$_-;\-* #,##0.00\ _$_-;_-* &quot;-&quot;??\ _$_-;_-@_-"/>
    <numFmt numFmtId="218" formatCode="0.0\ \L"/>
    <numFmt numFmtId="219" formatCode="0.00\ \i\n"/>
    <numFmt numFmtId="220" formatCode="0.000000000"/>
    <numFmt numFmtId="221" formatCode="0.0000000000"/>
  </numFmts>
  <fonts count="18">
    <font>
      <sz val="10"/>
      <name val="Arial"/>
      <family val="0"/>
    </font>
    <font>
      <b/>
      <sz val="8"/>
      <name val="Arial"/>
      <family val="2"/>
    </font>
    <font>
      <b/>
      <sz val="8"/>
      <color indexed="5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name val="Arial"/>
      <family val="0"/>
    </font>
    <font>
      <sz val="12"/>
      <name val="Arial"/>
      <family val="0"/>
    </font>
    <font>
      <sz val="8.5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8"/>
      <color indexed="54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2" fontId="1" fillId="2" borderId="0" xfId="0" applyNumberFormat="1" applyFont="1" applyFill="1" applyBorder="1" applyAlignment="1" applyProtection="1">
      <alignment horizontal="right"/>
      <protection hidden="1"/>
    </xf>
    <xf numFmtId="2" fontId="1" fillId="2" borderId="0" xfId="0" applyNumberFormat="1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/>
      <protection hidden="1"/>
    </xf>
    <xf numFmtId="0" fontId="1" fillId="3" borderId="2" xfId="0" applyFont="1" applyFill="1" applyBorder="1" applyAlignment="1" applyProtection="1">
      <alignment/>
      <protection hidden="1"/>
    </xf>
    <xf numFmtId="0" fontId="1" fillId="3" borderId="3" xfId="0" applyFont="1" applyFill="1" applyBorder="1" applyAlignment="1" applyProtection="1">
      <alignment/>
      <protection hidden="1"/>
    </xf>
    <xf numFmtId="0" fontId="1" fillId="4" borderId="1" xfId="0" applyFont="1" applyFill="1" applyBorder="1" applyAlignment="1" applyProtection="1">
      <alignment horizontal="center"/>
      <protection hidden="1" locked="0"/>
    </xf>
    <xf numFmtId="0" fontId="1" fillId="4" borderId="2" xfId="0" applyFont="1" applyFill="1" applyBorder="1" applyAlignment="1" applyProtection="1">
      <alignment horizontal="center"/>
      <protection hidden="1" locked="0"/>
    </xf>
    <xf numFmtId="0" fontId="1" fillId="5" borderId="0" xfId="0" applyFont="1" applyFill="1" applyAlignment="1" applyProtection="1">
      <alignment/>
      <protection hidden="1"/>
    </xf>
    <xf numFmtId="0" fontId="0" fillId="5" borderId="0" xfId="0" applyFill="1" applyAlignment="1" applyProtection="1">
      <alignment/>
      <protection hidden="1"/>
    </xf>
    <xf numFmtId="0" fontId="1" fillId="5" borderId="0" xfId="0" applyFont="1" applyFill="1" applyBorder="1" applyAlignment="1" applyProtection="1">
      <alignment/>
      <protection hidden="1"/>
    </xf>
    <xf numFmtId="0" fontId="1" fillId="5" borderId="0" xfId="0" applyFont="1" applyFill="1" applyBorder="1" applyAlignment="1" applyProtection="1">
      <alignment horizontal="center"/>
      <protection hidden="1"/>
    </xf>
    <xf numFmtId="0" fontId="10" fillId="6" borderId="4" xfId="0" applyFont="1" applyFill="1" applyBorder="1" applyAlignment="1" applyProtection="1">
      <alignment/>
      <protection hidden="1"/>
    </xf>
    <xf numFmtId="0" fontId="10" fillId="6" borderId="5" xfId="0" applyFont="1" applyFill="1" applyBorder="1" applyAlignment="1" applyProtection="1">
      <alignment/>
      <protection hidden="1"/>
    </xf>
    <xf numFmtId="0" fontId="10" fillId="6" borderId="5" xfId="0" applyFont="1" applyFill="1" applyBorder="1" applyAlignment="1" applyProtection="1">
      <alignment horizontal="center"/>
      <protection hidden="1"/>
    </xf>
    <xf numFmtId="2" fontId="1" fillId="5" borderId="0" xfId="0" applyNumberFormat="1" applyFont="1" applyFill="1" applyBorder="1" applyAlignment="1" applyProtection="1">
      <alignment horizontal="right"/>
      <protection hidden="1"/>
    </xf>
    <xf numFmtId="2" fontId="1" fillId="5" borderId="0" xfId="0" applyNumberFormat="1" applyFont="1" applyFill="1" applyBorder="1" applyAlignment="1" applyProtection="1">
      <alignment/>
      <protection hidden="1"/>
    </xf>
    <xf numFmtId="186" fontId="14" fillId="3" borderId="2" xfId="0" applyNumberFormat="1" applyFont="1" applyFill="1" applyBorder="1" applyAlignment="1" applyProtection="1">
      <alignment horizontal="center"/>
      <protection hidden="1"/>
    </xf>
    <xf numFmtId="186" fontId="14" fillId="3" borderId="3" xfId="0" applyNumberFormat="1" applyFont="1" applyFill="1" applyBorder="1" applyAlignment="1" applyProtection="1">
      <alignment horizontal="center"/>
      <protection hidden="1"/>
    </xf>
    <xf numFmtId="2" fontId="2" fillId="3" borderId="2" xfId="0" applyNumberFormat="1" applyFont="1" applyFill="1" applyBorder="1" applyAlignment="1" applyProtection="1">
      <alignment horizontal="center"/>
      <protection hidden="1"/>
    </xf>
    <xf numFmtId="2" fontId="14" fillId="3" borderId="2" xfId="0" applyNumberFormat="1" applyFont="1" applyFill="1" applyBorder="1" applyAlignment="1" applyProtection="1">
      <alignment horizontal="center"/>
      <protection hidden="1"/>
    </xf>
    <xf numFmtId="1" fontId="2" fillId="3" borderId="3" xfId="0" applyNumberFormat="1" applyFont="1" applyFill="1" applyBorder="1" applyAlignment="1" applyProtection="1">
      <alignment horizontal="center"/>
      <protection hidden="1"/>
    </xf>
    <xf numFmtId="0" fontId="13" fillId="5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0" fontId="15" fillId="6" borderId="5" xfId="0" applyFont="1" applyFill="1" applyBorder="1" applyAlignment="1" applyProtection="1">
      <alignment horizontal="left"/>
      <protection hidden="1"/>
    </xf>
    <xf numFmtId="1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7" fillId="7" borderId="0" xfId="0" applyFont="1" applyFill="1" applyAlignment="1">
      <alignment horizontal="center"/>
    </xf>
    <xf numFmtId="14" fontId="17" fillId="7" borderId="0" xfId="0" applyNumberFormat="1" applyFont="1" applyFill="1" applyAlignment="1">
      <alignment horizontal="center"/>
    </xf>
    <xf numFmtId="0" fontId="0" fillId="0" borderId="6" xfId="0" applyBorder="1" applyAlignment="1">
      <alignment horizontal="right"/>
    </xf>
    <xf numFmtId="186" fontId="0" fillId="0" borderId="7" xfId="0" applyNumberFormat="1" applyBorder="1" applyAlignment="1">
      <alignment horizontal="center"/>
    </xf>
    <xf numFmtId="186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16" fillId="0" borderId="7" xfId="0" applyNumberFormat="1" applyFont="1" applyBorder="1" applyAlignment="1">
      <alignment horizontal="center"/>
    </xf>
    <xf numFmtId="2" fontId="16" fillId="0" borderId="8" xfId="0" applyNumberFormat="1" applyFont="1" applyBorder="1" applyAlignment="1">
      <alignment horizontal="center"/>
    </xf>
    <xf numFmtId="186" fontId="16" fillId="0" borderId="7" xfId="0" applyNumberFormat="1" applyFont="1" applyBorder="1" applyAlignment="1">
      <alignment horizontal="center"/>
    </xf>
    <xf numFmtId="186" fontId="16" fillId="0" borderId="8" xfId="0" applyNumberFormat="1" applyFont="1" applyBorder="1" applyAlignment="1">
      <alignment horizontal="center"/>
    </xf>
    <xf numFmtId="184" fontId="16" fillId="0" borderId="7" xfId="0" applyNumberFormat="1" applyFont="1" applyBorder="1" applyAlignment="1">
      <alignment horizontal="center"/>
    </xf>
    <xf numFmtId="184" fontId="16" fillId="0" borderId="8" xfId="0" applyNumberFormat="1" applyFont="1" applyBorder="1" applyAlignment="1">
      <alignment horizontal="center"/>
    </xf>
    <xf numFmtId="2" fontId="1" fillId="4" borderId="2" xfId="0" applyNumberFormat="1" applyFont="1" applyFill="1" applyBorder="1" applyAlignment="1" applyProtection="1">
      <alignment horizontal="center"/>
      <protection hidden="1"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Response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75"/>
          <c:y val="0.11125"/>
          <c:w val="0.9255"/>
          <c:h val="0.816"/>
        </c:manualLayout>
      </c:layout>
      <c:lineChart>
        <c:grouping val="standard"/>
        <c:varyColors val="0"/>
        <c:ser>
          <c:idx val="0"/>
          <c:order val="0"/>
          <c:tx>
            <c:v>Room gain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>
                <c:ptCount val="18"/>
                <c:pt idx="0">
                  <c:v>20</c:v>
                </c:pt>
                <c:pt idx="1">
                  <c:v>25</c:v>
                </c:pt>
                <c:pt idx="2">
                  <c:v>31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</c:numCache>
            </c:numRef>
          </c:cat>
          <c:val>
            <c:numRef>
              <c:f>bassandroom!$V$41:$V$58</c:f>
              <c:numCache>
                <c:ptCount val="18"/>
                <c:pt idx="0">
                  <c:v>8.035329897416103</c:v>
                </c:pt>
                <c:pt idx="1">
                  <c:v>7.465205017813497</c:v>
                </c:pt>
                <c:pt idx="2">
                  <c:v>6.602346297023094</c:v>
                </c:pt>
                <c:pt idx="3">
                  <c:v>4.938802426340775</c:v>
                </c:pt>
                <c:pt idx="4">
                  <c:v>2.646353424221846</c:v>
                </c:pt>
                <c:pt idx="5">
                  <c:v>-0.1849862976929696</c:v>
                </c:pt>
                <c:pt idx="6">
                  <c:v>-0.5722887885985235</c:v>
                </c:pt>
                <c:pt idx="7">
                  <c:v>0.34568836466197134</c:v>
                </c:pt>
                <c:pt idx="8">
                  <c:v>-1.3741157966439943</c:v>
                </c:pt>
                <c:pt idx="9">
                  <c:v>-0.9736236686798179</c:v>
                </c:pt>
                <c:pt idx="10">
                  <c:v>0.35857088054228153</c:v>
                </c:pt>
                <c:pt idx="11">
                  <c:v>0.1419686897936876</c:v>
                </c:pt>
                <c:pt idx="12">
                  <c:v>0.2131528642462966</c:v>
                </c:pt>
                <c:pt idx="13">
                  <c:v>-0.06411439075646612</c:v>
                </c:pt>
                <c:pt idx="14">
                  <c:v>0.4520123875377565</c:v>
                </c:pt>
                <c:pt idx="15">
                  <c:v>-0.05454841866838887</c:v>
                </c:pt>
                <c:pt idx="16">
                  <c:v>0.06497744269961445</c:v>
                </c:pt>
                <c:pt idx="17">
                  <c:v>0.02097162739042081</c:v>
                </c:pt>
              </c:numCache>
            </c:numRef>
          </c:val>
          <c:smooth val="0"/>
        </c:ser>
        <c:ser>
          <c:idx val="1"/>
          <c:order val="1"/>
          <c:tx>
            <c:v>Closed box + Room gain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>
                <c:ptCount val="18"/>
                <c:pt idx="0">
                  <c:v>20</c:v>
                </c:pt>
                <c:pt idx="1">
                  <c:v>25</c:v>
                </c:pt>
                <c:pt idx="2">
                  <c:v>31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</c:numCache>
            </c:numRef>
          </c:cat>
          <c:val>
            <c:numRef>
              <c:f>bassandroom!$AB$41:$AB$58</c:f>
              <c:numCache>
                <c:ptCount val="18"/>
                <c:pt idx="0">
                  <c:v>-8.138914176387297</c:v>
                </c:pt>
                <c:pt idx="1">
                  <c:v>-5.091681320071416</c:v>
                </c:pt>
                <c:pt idx="2">
                  <c:v>-2.6836027895695365</c:v>
                </c:pt>
                <c:pt idx="3">
                  <c:v>-0.9674510594483525</c:v>
                </c:pt>
                <c:pt idx="4">
                  <c:v>-0.9698625182863929</c:v>
                </c:pt>
                <c:pt idx="5">
                  <c:v>-2.195863080436882</c:v>
                </c:pt>
                <c:pt idx="6">
                  <c:v>-1.6210367558797467</c:v>
                </c:pt>
                <c:pt idx="7">
                  <c:v>-0.22404421622637088</c:v>
                </c:pt>
                <c:pt idx="8">
                  <c:v>-1.6903472351390427</c:v>
                </c:pt>
                <c:pt idx="9">
                  <c:v>-1.1443917563574377</c:v>
                </c:pt>
                <c:pt idx="10">
                  <c:v>0.257682190575755</c:v>
                </c:pt>
                <c:pt idx="11">
                  <c:v>0.08092499184506362</c:v>
                </c:pt>
                <c:pt idx="12">
                  <c:v>0.17618444999137456</c:v>
                </c:pt>
                <c:pt idx="13">
                  <c:v>-0.08644129354373767</c:v>
                </c:pt>
                <c:pt idx="14">
                  <c:v>0.43794978499544357</c:v>
                </c:pt>
                <c:pt idx="15">
                  <c:v>-0.0633119769875799</c:v>
                </c:pt>
                <c:pt idx="16">
                  <c:v>0.059580513397054856</c:v>
                </c:pt>
                <c:pt idx="17">
                  <c:v>0.017531846695706947</c:v>
                </c:pt>
              </c:numCache>
            </c:numRef>
          </c:val>
          <c:smooth val="0"/>
        </c:ser>
        <c:ser>
          <c:idx val="2"/>
          <c:order val="2"/>
          <c:tx>
            <c:v>Vented box + Room gain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>
                <c:ptCount val="18"/>
                <c:pt idx="0">
                  <c:v>20</c:v>
                </c:pt>
                <c:pt idx="1">
                  <c:v>25</c:v>
                </c:pt>
                <c:pt idx="2">
                  <c:v>31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</c:numCache>
            </c:numRef>
          </c:cat>
          <c:val>
            <c:numRef>
              <c:f>bassandroom!$AM$41:$AM$58</c:f>
              <c:numCache>
                <c:ptCount val="18"/>
                <c:pt idx="0">
                  <c:v>-6.817413692817402</c:v>
                </c:pt>
                <c:pt idx="1">
                  <c:v>-1.2953092833619948</c:v>
                </c:pt>
                <c:pt idx="2">
                  <c:v>2.0767568407582573</c:v>
                </c:pt>
                <c:pt idx="3">
                  <c:v>3.3156744333941113</c:v>
                </c:pt>
                <c:pt idx="4">
                  <c:v>2.1940072786023754</c:v>
                </c:pt>
                <c:pt idx="5">
                  <c:v>-0.17196024414865596</c:v>
                </c:pt>
                <c:pt idx="6">
                  <c:v>-0.43380700454320276</c:v>
                </c:pt>
                <c:pt idx="7">
                  <c:v>0.4848098987473116</c:v>
                </c:pt>
                <c:pt idx="8">
                  <c:v>-1.2642693615551033</c:v>
                </c:pt>
                <c:pt idx="9">
                  <c:v>-0.8977897193977706</c:v>
                </c:pt>
                <c:pt idx="10">
                  <c:v>0.4102678552495719</c:v>
                </c:pt>
                <c:pt idx="11">
                  <c:v>0.17634726603176076</c:v>
                </c:pt>
                <c:pt idx="12">
                  <c:v>0.23534197058110398</c:v>
                </c:pt>
                <c:pt idx="13">
                  <c:v>-0.05013962643479873</c:v>
                </c:pt>
                <c:pt idx="14">
                  <c:v>0.46103668223881206</c:v>
                </c:pt>
                <c:pt idx="15">
                  <c:v>-0.04883085989199506</c:v>
                </c:pt>
                <c:pt idx="16">
                  <c:v>0.06853657567881442</c:v>
                </c:pt>
                <c:pt idx="17">
                  <c:v>0.02325449426824753</c:v>
                </c:pt>
              </c:numCache>
            </c:numRef>
          </c:val>
          <c:smooth val="0"/>
        </c:ser>
        <c:ser>
          <c:idx val="3"/>
          <c:order val="3"/>
          <c:tx>
            <c:v>Closed box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>
                <c:ptCount val="18"/>
                <c:pt idx="0">
                  <c:v>20</c:v>
                </c:pt>
                <c:pt idx="1">
                  <c:v>25</c:v>
                </c:pt>
                <c:pt idx="2">
                  <c:v>31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</c:numCache>
            </c:numRef>
          </c:cat>
          <c:val>
            <c:numRef>
              <c:f>bassandroom!$Z$41:$Z$58</c:f>
              <c:numCache>
                <c:ptCount val="18"/>
                <c:pt idx="0">
                  <c:v>-16.1742440738034</c:v>
                </c:pt>
                <c:pt idx="1">
                  <c:v>-12.556886337884913</c:v>
                </c:pt>
                <c:pt idx="2">
                  <c:v>-9.28594908659263</c:v>
                </c:pt>
                <c:pt idx="3">
                  <c:v>-5.906253485789128</c:v>
                </c:pt>
                <c:pt idx="4">
                  <c:v>-3.616215942508239</c:v>
                </c:pt>
                <c:pt idx="5">
                  <c:v>-2.0108767827439125</c:v>
                </c:pt>
                <c:pt idx="6">
                  <c:v>-1.0487479672812232</c:v>
                </c:pt>
                <c:pt idx="7">
                  <c:v>-0.5697325808883422</c:v>
                </c:pt>
                <c:pt idx="8">
                  <c:v>-0.3162314384950485</c:v>
                </c:pt>
                <c:pt idx="9">
                  <c:v>-0.1707680876776198</c:v>
                </c:pt>
                <c:pt idx="10">
                  <c:v>-0.10088868996652656</c:v>
                </c:pt>
                <c:pt idx="11">
                  <c:v>-0.06104369794862398</c:v>
                </c:pt>
                <c:pt idx="12">
                  <c:v>-0.03696841425492202</c:v>
                </c:pt>
                <c:pt idx="13">
                  <c:v>-0.022326902787271556</c:v>
                </c:pt>
                <c:pt idx="14">
                  <c:v>-0.014062602542312942</c:v>
                </c:pt>
                <c:pt idx="15">
                  <c:v>-0.008763558319191029</c:v>
                </c:pt>
                <c:pt idx="16">
                  <c:v>-0.00539692930255959</c:v>
                </c:pt>
                <c:pt idx="17">
                  <c:v>-0.003439780694713861</c:v>
                </c:pt>
              </c:numCache>
            </c:numRef>
          </c:val>
          <c:smooth val="0"/>
        </c:ser>
        <c:ser>
          <c:idx val="4"/>
          <c:order val="4"/>
          <c:tx>
            <c:v>Vented box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bassandroom!$AD$41:$AD$58</c:f>
              <c:numCache>
                <c:ptCount val="18"/>
                <c:pt idx="0">
                  <c:v>20</c:v>
                </c:pt>
                <c:pt idx="1">
                  <c:v>25</c:v>
                </c:pt>
                <c:pt idx="2">
                  <c:v>31</c:v>
                </c:pt>
                <c:pt idx="3">
                  <c:v>40</c:v>
                </c:pt>
                <c:pt idx="4">
                  <c:v>50</c:v>
                </c:pt>
                <c:pt idx="5">
                  <c:v>63</c:v>
                </c:pt>
                <c:pt idx="6">
                  <c:v>80</c:v>
                </c:pt>
                <c:pt idx="7">
                  <c:v>100</c:v>
                </c:pt>
                <c:pt idx="8">
                  <c:v>125</c:v>
                </c:pt>
                <c:pt idx="9">
                  <c:v>160</c:v>
                </c:pt>
                <c:pt idx="10">
                  <c:v>200</c:v>
                </c:pt>
                <c:pt idx="11">
                  <c:v>250</c:v>
                </c:pt>
                <c:pt idx="12">
                  <c:v>315</c:v>
                </c:pt>
                <c:pt idx="13">
                  <c:v>400</c:v>
                </c:pt>
                <c:pt idx="14">
                  <c:v>500</c:v>
                </c:pt>
                <c:pt idx="15">
                  <c:v>630</c:v>
                </c:pt>
                <c:pt idx="16">
                  <c:v>800</c:v>
                </c:pt>
                <c:pt idx="17">
                  <c:v>1000</c:v>
                </c:pt>
              </c:numCache>
            </c:numRef>
          </c:cat>
          <c:val>
            <c:numRef>
              <c:f>bassandroom!$AK$41:$AK$58</c:f>
              <c:numCache>
                <c:ptCount val="18"/>
                <c:pt idx="0">
                  <c:v>-14.852743590233505</c:v>
                </c:pt>
                <c:pt idx="1">
                  <c:v>-8.760514301175492</c:v>
                </c:pt>
                <c:pt idx="2">
                  <c:v>-4.525589456264837</c:v>
                </c:pt>
                <c:pt idx="3">
                  <c:v>-1.6231279929466635</c:v>
                </c:pt>
                <c:pt idx="4">
                  <c:v>-0.45234614561947056</c:v>
                </c:pt>
                <c:pt idx="5">
                  <c:v>0.013026053544313628</c:v>
                </c:pt>
                <c:pt idx="6">
                  <c:v>0.13848178405532074</c:v>
                </c:pt>
                <c:pt idx="7">
                  <c:v>0.13912153408534025</c:v>
                </c:pt>
                <c:pt idx="8">
                  <c:v>0.10984643508889101</c:v>
                </c:pt>
                <c:pt idx="9">
                  <c:v>0.07583394928204726</c:v>
                </c:pt>
                <c:pt idx="10">
                  <c:v>0.05169697470729037</c:v>
                </c:pt>
                <c:pt idx="11">
                  <c:v>0.03437857623807315</c:v>
                </c:pt>
                <c:pt idx="12">
                  <c:v>0.02218910633480738</c:v>
                </c:pt>
                <c:pt idx="13">
                  <c:v>0.013974764321667391</c:v>
                </c:pt>
                <c:pt idx="14">
                  <c:v>0.009024294701055528</c:v>
                </c:pt>
                <c:pt idx="15">
                  <c:v>0.005717558776393816</c:v>
                </c:pt>
                <c:pt idx="16">
                  <c:v>0.0035591329791999794</c:v>
                </c:pt>
                <c:pt idx="17">
                  <c:v>0.0022828668778267203</c:v>
                </c:pt>
              </c:numCache>
            </c:numRef>
          </c:val>
          <c:smooth val="0"/>
        </c:ser>
        <c:axId val="26709039"/>
        <c:axId val="39054760"/>
      </c:lineChart>
      <c:catAx>
        <c:axId val="26709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Hz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9054760"/>
        <c:crosses val="autoZero"/>
        <c:auto val="1"/>
        <c:lblOffset val="100"/>
        <c:noMultiLvlLbl val="0"/>
      </c:catAx>
      <c:valAx>
        <c:axId val="39054760"/>
        <c:scaling>
          <c:orientation val="minMax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26709039"/>
        <c:crossesAt val="1"/>
        <c:crossBetween val="between"/>
        <c:dispUnits/>
        <c:majorUnit val="3"/>
      </c:valAx>
      <c:spPr>
        <a:solidFill>
          <a:srgbClr val="C0C0C0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709"/>
          <c:y val="0.08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</xdr:row>
      <xdr:rowOff>0</xdr:rowOff>
    </xdr:from>
    <xdr:to>
      <xdr:col>13</xdr:col>
      <xdr:colOff>190500</xdr:colOff>
      <xdr:row>27</xdr:row>
      <xdr:rowOff>133350</xdr:rowOff>
    </xdr:to>
    <xdr:graphicFrame>
      <xdr:nvGraphicFramePr>
        <xdr:cNvPr id="1" name="Chart 1"/>
        <xdr:cNvGraphicFramePr/>
      </xdr:nvGraphicFramePr>
      <xdr:xfrm>
        <a:off x="2962275" y="361950"/>
        <a:ext cx="65341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3"/>
  <sheetViews>
    <sheetView tabSelected="1" workbookViewId="0" topLeftCell="A1">
      <selection activeCell="B18" sqref="B18"/>
    </sheetView>
  </sheetViews>
  <sheetFormatPr defaultColWidth="9.140625" defaultRowHeight="12.75"/>
  <cols>
    <col min="1" max="1" width="18.140625" style="0" bestFit="1" customWidth="1"/>
    <col min="2" max="2" width="20.8515625" style="0" customWidth="1"/>
    <col min="33" max="33" width="9.7109375" style="0" bestFit="1" customWidth="1"/>
  </cols>
  <sheetData>
    <row r="1" spans="1:5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</row>
    <row r="2" spans="1:51" ht="15.75">
      <c r="A2" s="22"/>
      <c r="B2" s="10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</row>
    <row r="3" spans="1:51" ht="20.25">
      <c r="A3" s="12" t="s">
        <v>0</v>
      </c>
      <c r="B3" s="29" t="s">
        <v>27</v>
      </c>
      <c r="C3" s="8"/>
      <c r="D3" s="8"/>
      <c r="E3" s="8"/>
      <c r="F3" s="8"/>
      <c r="G3" s="8"/>
      <c r="H3" s="8"/>
      <c r="I3" s="8"/>
      <c r="J3" s="8"/>
      <c r="K3" s="8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</row>
    <row r="4" spans="1:51" ht="12.75">
      <c r="A4" s="3" t="s">
        <v>12</v>
      </c>
      <c r="B4" s="6">
        <v>87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</row>
    <row r="5" spans="1:51" ht="12.75">
      <c r="A5" s="4" t="s">
        <v>13</v>
      </c>
      <c r="B5" s="7">
        <v>31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</row>
    <row r="6" spans="1:51" ht="12.75">
      <c r="A6" s="4" t="s">
        <v>1</v>
      </c>
      <c r="B6" s="7">
        <v>0.39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ht="12.75">
      <c r="A7" s="4" t="s">
        <v>14</v>
      </c>
      <c r="B7" s="7">
        <v>6.2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</row>
    <row r="8" spans="1:51" ht="12.75">
      <c r="A8" s="4" t="s">
        <v>15</v>
      </c>
      <c r="B8" s="7">
        <v>0.3</v>
      </c>
      <c r="C8" s="8"/>
      <c r="D8" s="8"/>
      <c r="E8" s="8"/>
      <c r="F8" s="8"/>
      <c r="G8" s="8"/>
      <c r="H8" s="8"/>
      <c r="I8" s="8"/>
      <c r="J8" s="8"/>
      <c r="K8" s="8"/>
      <c r="L8" s="8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ht="12.75">
      <c r="A9" s="4" t="s">
        <v>2</v>
      </c>
      <c r="B9" s="19">
        <f>(B7+B8)*B6/B7</f>
        <v>0.4088709677419355</v>
      </c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12.75">
      <c r="A10" s="12" t="s">
        <v>3</v>
      </c>
      <c r="B10" s="13"/>
      <c r="C10" s="8"/>
      <c r="D10" s="8"/>
      <c r="E10" s="8"/>
      <c r="F10" s="8"/>
      <c r="G10" s="8"/>
      <c r="H10" s="8"/>
      <c r="I10" s="8"/>
      <c r="J10" s="8"/>
      <c r="K10" s="8"/>
      <c r="L10" s="8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12.75">
      <c r="A11" s="4" t="s">
        <v>9</v>
      </c>
      <c r="B11" s="7">
        <v>55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12.75">
      <c r="A12" s="4" t="s">
        <v>4</v>
      </c>
      <c r="B12" s="20">
        <f>B15*B9</f>
        <v>0.6569753903407538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1" ht="12.75">
      <c r="A13" s="4" t="s">
        <v>11</v>
      </c>
      <c r="B13" s="17">
        <f>B15*B5</f>
        <v>49.81091519664413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</row>
    <row r="14" spans="1:51" ht="12.75">
      <c r="A14" s="4" t="s">
        <v>10</v>
      </c>
      <c r="B14" s="17">
        <f>B13*((1/B12^2-2+((1/B12^2-2)^2+4)^0.5)/2)^0.5</f>
        <v>53.89965549596998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</row>
    <row r="15" spans="1:51" ht="12.75">
      <c r="A15" s="4" t="s">
        <v>5</v>
      </c>
      <c r="B15" s="17">
        <f>SQRT(1+B16)</f>
        <v>1.6068037160207784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</row>
    <row r="16" spans="1:51" ht="12.75">
      <c r="A16" s="5" t="s">
        <v>6</v>
      </c>
      <c r="B16" s="18">
        <f>B4/B11</f>
        <v>1.5818181818181818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</row>
    <row r="17" spans="1:51" ht="12.75">
      <c r="A17" s="12" t="s">
        <v>7</v>
      </c>
      <c r="B17" s="13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</row>
    <row r="18" spans="1:51" ht="12.75">
      <c r="A18" s="4" t="s">
        <v>9</v>
      </c>
      <c r="B18" s="7">
        <v>65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</row>
    <row r="19" spans="1:51" ht="12.75">
      <c r="A19" s="4" t="s">
        <v>8</v>
      </c>
      <c r="B19" s="7">
        <v>30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</row>
    <row r="20" spans="1:51" ht="12.75">
      <c r="A20" s="4" t="s">
        <v>16</v>
      </c>
      <c r="B20" s="7">
        <v>7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</row>
    <row r="21" spans="1:51" ht="12.75">
      <c r="A21" s="4" t="s">
        <v>10</v>
      </c>
      <c r="B21" s="19">
        <f>(B4/B18)^0.44*B5</f>
        <v>35.242628186937466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</row>
    <row r="22" spans="1:51" ht="12.75">
      <c r="A22" s="4" t="s">
        <v>17</v>
      </c>
      <c r="B22" s="49">
        <v>8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</row>
    <row r="23" spans="1:51" ht="12.75">
      <c r="A23" s="5" t="s">
        <v>18</v>
      </c>
      <c r="B23" s="21">
        <f>((23562.5*B22^2*1/(B19^2*B18))-(0.732*B22))*0.7</f>
        <v>13.945244444444443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1:51" ht="12.75">
      <c r="A24" s="12" t="s">
        <v>19</v>
      </c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</row>
    <row r="25" spans="1:51" ht="12.75">
      <c r="A25" s="3" t="s">
        <v>20</v>
      </c>
      <c r="B25" s="6">
        <v>80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</row>
    <row r="26" spans="1:51" ht="12.75">
      <c r="A26" s="4" t="s">
        <v>23</v>
      </c>
      <c r="B26" s="7">
        <v>110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</row>
    <row r="27" spans="1:51" ht="12.75">
      <c r="A27" s="4" t="s">
        <v>21</v>
      </c>
      <c r="B27" s="7">
        <v>180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</row>
    <row r="28" spans="1:51" ht="12.75">
      <c r="A28" s="10"/>
      <c r="B28" s="11"/>
      <c r="C28" s="8"/>
      <c r="D28" s="8"/>
      <c r="E28" s="8"/>
      <c r="F28" s="8"/>
      <c r="G28" s="8"/>
      <c r="H28" s="8"/>
      <c r="I28" s="8"/>
      <c r="J28" s="8"/>
      <c r="K28" s="8"/>
      <c r="L28" s="8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</row>
    <row r="29" spans="1:51" ht="12.75">
      <c r="A29" s="10"/>
      <c r="B29" s="11"/>
      <c r="C29" s="8"/>
      <c r="D29" s="8"/>
      <c r="E29" s="8"/>
      <c r="F29" s="8"/>
      <c r="G29" s="8"/>
      <c r="H29" s="8"/>
      <c r="I29" s="8"/>
      <c r="J29" s="8"/>
      <c r="K29" s="8"/>
      <c r="L29" s="8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</row>
    <row r="30" spans="1:5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</row>
    <row r="31" spans="1:5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</row>
    <row r="32" spans="1:51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</row>
    <row r="33" spans="1:51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</row>
    <row r="34" spans="1:5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</row>
    <row r="35" spans="1:5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</row>
    <row r="36" spans="1:5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</row>
    <row r="37" spans="1:5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</row>
    <row r="38" spans="1:5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</row>
    <row r="39" spans="1:5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</row>
    <row r="40" spans="1:51" ht="12.75">
      <c r="A40" s="1" t="s">
        <v>22</v>
      </c>
      <c r="B40" s="15" t="s">
        <v>22</v>
      </c>
      <c r="C40" s="1" t="s">
        <v>22</v>
      </c>
      <c r="D40" s="15" t="s">
        <v>22</v>
      </c>
      <c r="E40" s="1" t="s">
        <v>22</v>
      </c>
      <c r="F40" s="15" t="s">
        <v>22</v>
      </c>
      <c r="G40" s="1" t="s">
        <v>22</v>
      </c>
      <c r="H40" s="15" t="s">
        <v>22</v>
      </c>
      <c r="I40" s="1" t="s">
        <v>22</v>
      </c>
      <c r="J40" s="15" t="s">
        <v>22</v>
      </c>
      <c r="K40" s="1" t="s">
        <v>22</v>
      </c>
      <c r="L40" s="15" t="s">
        <v>22</v>
      </c>
      <c r="M40" s="1" t="s">
        <v>22</v>
      </c>
      <c r="N40" s="15" t="s">
        <v>22</v>
      </c>
      <c r="O40" s="1" t="s">
        <v>22</v>
      </c>
      <c r="P40" s="15" t="s">
        <v>22</v>
      </c>
      <c r="Q40" s="1" t="s">
        <v>22</v>
      </c>
      <c r="R40" s="15" t="s">
        <v>22</v>
      </c>
      <c r="S40" s="1" t="s">
        <v>22</v>
      </c>
      <c r="T40" s="15" t="s">
        <v>22</v>
      </c>
      <c r="U40" s="1" t="s">
        <v>22</v>
      </c>
      <c r="V40" s="15" t="s">
        <v>22</v>
      </c>
      <c r="W40" s="1" t="s">
        <v>22</v>
      </c>
      <c r="X40" s="15" t="s">
        <v>22</v>
      </c>
      <c r="Y40" s="1" t="s">
        <v>22</v>
      </c>
      <c r="Z40" s="15" t="s">
        <v>22</v>
      </c>
      <c r="AA40" s="1" t="s">
        <v>22</v>
      </c>
      <c r="AB40" s="15" t="s">
        <v>22</v>
      </c>
      <c r="AC40" s="1" t="s">
        <v>22</v>
      </c>
      <c r="AD40" s="15" t="s">
        <v>22</v>
      </c>
      <c r="AE40" s="1" t="s">
        <v>22</v>
      </c>
      <c r="AF40" s="15" t="s">
        <v>22</v>
      </c>
      <c r="AG40" s="1" t="s">
        <v>22</v>
      </c>
      <c r="AH40" s="15" t="s">
        <v>22</v>
      </c>
      <c r="AI40" s="1" t="s">
        <v>22</v>
      </c>
      <c r="AJ40" s="15" t="s">
        <v>22</v>
      </c>
      <c r="AK40" s="1" t="s">
        <v>22</v>
      </c>
      <c r="AL40" s="15" t="s">
        <v>22</v>
      </c>
      <c r="AM40" s="1" t="s">
        <v>22</v>
      </c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</row>
    <row r="41" spans="1:51" ht="12.75">
      <c r="A41" s="2">
        <f>B27/100</f>
        <v>1.8</v>
      </c>
      <c r="B41" s="16">
        <f>B25/100</f>
        <v>0.8</v>
      </c>
      <c r="C41" s="2">
        <f>B26/100</f>
        <v>1.1</v>
      </c>
      <c r="D41" s="16">
        <v>20</v>
      </c>
      <c r="E41" s="2">
        <f aca="true" t="shared" si="0" ref="E41:E58">344/D41</f>
        <v>17.2</v>
      </c>
      <c r="F41" s="16">
        <f aca="true" t="shared" si="1" ref="F41:F58">4*PI()*A41/E41</f>
        <v>1.3150852968515414</v>
      </c>
      <c r="G41" s="2">
        <f aca="true" t="shared" si="2" ref="G41:G58">SIN(F41)/F41</f>
        <v>0.7356813275714416</v>
      </c>
      <c r="H41" s="16">
        <f aca="true" t="shared" si="3" ref="H41:H58">4*PI()*B41/E41</f>
        <v>0.5844823541562406</v>
      </c>
      <c r="I41" s="2">
        <f aca="true" t="shared" si="4" ref="I41:I58">SIN(H41)/H41</f>
        <v>0.9440280563593377</v>
      </c>
      <c r="J41" s="16">
        <f aca="true" t="shared" si="5" ref="J41:J58">4*PI()*C41/E41</f>
        <v>0.8036632369648309</v>
      </c>
      <c r="K41" s="2">
        <f aca="true" t="shared" si="6" ref="K41:K58">SIN(J41)/J41</f>
        <v>0.8957775354722362</v>
      </c>
      <c r="L41" s="16">
        <f aca="true" t="shared" si="7" ref="L41:L58">4*PI()*SQRT(A41^2+B41^2)/E41</f>
        <v>1.4391208984359611</v>
      </c>
      <c r="M41" s="2">
        <f aca="true" t="shared" si="8" ref="M41:M58">SIN(L41)/L41</f>
        <v>0.6888533899329312</v>
      </c>
      <c r="N41" s="16">
        <f aca="true" t="shared" si="9" ref="N41:N58">4*PI()*SQRT(A41^2+C41^2)/E41</f>
        <v>1.541208596019337</v>
      </c>
      <c r="O41" s="2">
        <f aca="true" t="shared" si="10" ref="O41:O58">SIN(N41)/N41</f>
        <v>0.6485574487497767</v>
      </c>
      <c r="P41" s="16">
        <f aca="true" t="shared" si="11" ref="P41:P58">4*PI()*SQRT(B41^2+C41^2)/E41</f>
        <v>0.9937274378665466</v>
      </c>
      <c r="Q41" s="2">
        <f aca="true" t="shared" si="12" ref="Q41:Q58">SIN(P41)/P41</f>
        <v>0.8433553724227606</v>
      </c>
      <c r="R41" s="16">
        <f aca="true" t="shared" si="13" ref="R41:R58">4*PI()*SQRT(A41^2+B41^2+C41^2)/E41</f>
        <v>1.6483153699349884</v>
      </c>
      <c r="S41" s="2">
        <f aca="true" t="shared" si="14" ref="S41:S58">SIN(R41)/R41</f>
        <v>0.6048581002541085</v>
      </c>
      <c r="T41" s="16">
        <v>1</v>
      </c>
      <c r="U41" s="2">
        <f aca="true" t="shared" si="15" ref="U41:U58">G41+I41+K41+M41+O41+Q41+S41+T41</f>
        <v>6.361111230762592</v>
      </c>
      <c r="V41" s="16">
        <f aca="true" t="shared" si="16" ref="V41:V58">10*LOG(U41)</f>
        <v>8.035329897416103</v>
      </c>
      <c r="W41" s="1" t="s">
        <v>22</v>
      </c>
      <c r="X41" s="16">
        <v>20</v>
      </c>
      <c r="Y41" s="2">
        <f>(20/B13)^2</f>
        <v>0.16121704210696017</v>
      </c>
      <c r="Z41" s="16">
        <f>10*LOG(Y41^2/((Y41-1)^2+Y41/B12^2))</f>
        <v>-16.1742440738034</v>
      </c>
      <c r="AA41" s="1" t="s">
        <v>22</v>
      </c>
      <c r="AB41" s="16">
        <f aca="true" t="shared" si="17" ref="AB41:AB58">V41+Z41</f>
        <v>-8.138914176387297</v>
      </c>
      <c r="AC41" s="1" t="s">
        <v>22</v>
      </c>
      <c r="AD41" s="16">
        <v>20</v>
      </c>
      <c r="AE41" s="2">
        <f>(AD41/B5)^2</f>
        <v>0.4162330905306972</v>
      </c>
      <c r="AF41" s="16">
        <f aca="true" t="shared" si="18" ref="AF41:AF58">AE41^2</f>
        <v>0.17324998565273556</v>
      </c>
      <c r="AG41" s="2">
        <f>(B19/B5)^2</f>
        <v>0.9365244536940688</v>
      </c>
      <c r="AH41" s="16">
        <f>AG41/B9+B19/(B5*B20)</f>
        <v>2.428762304692826</v>
      </c>
      <c r="AI41" s="2">
        <f>1+AG41+(B4/B18)+B19/(B5*B9*B20)</f>
        <v>3.6131094072020993</v>
      </c>
      <c r="AJ41" s="16">
        <f>1/B9+B19/(B5*B20)</f>
        <v>2.5840082167625593</v>
      </c>
      <c r="AK41" s="2">
        <f>10*LOG(AF41^2/((AF41-AI41*AE41+AG41)^2+AE41*(AJ41*AE41-AH41)^2))</f>
        <v>-14.852743590233505</v>
      </c>
      <c r="AL41" s="15" t="s">
        <v>22</v>
      </c>
      <c r="AM41" s="2">
        <f aca="true" t="shared" si="19" ref="AM41:AM58">V41+AK41</f>
        <v>-6.817413692817402</v>
      </c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</row>
    <row r="42" spans="1:51" ht="12.75">
      <c r="A42" s="2">
        <f>A41</f>
        <v>1.8</v>
      </c>
      <c r="B42" s="16">
        <f>B41</f>
        <v>0.8</v>
      </c>
      <c r="C42" s="2">
        <f>C41</f>
        <v>1.1</v>
      </c>
      <c r="D42" s="16">
        <v>25</v>
      </c>
      <c r="E42" s="2">
        <f t="shared" si="0"/>
        <v>13.76</v>
      </c>
      <c r="F42" s="16">
        <f t="shared" si="1"/>
        <v>1.6438566210644268</v>
      </c>
      <c r="G42" s="2">
        <f t="shared" si="2"/>
        <v>0.6067027202273645</v>
      </c>
      <c r="H42" s="16">
        <f t="shared" si="3"/>
        <v>0.7306029426953007</v>
      </c>
      <c r="I42" s="2">
        <f t="shared" si="4"/>
        <v>0.9133809518483501</v>
      </c>
      <c r="J42" s="16">
        <f t="shared" si="5"/>
        <v>1.0045790462060387</v>
      </c>
      <c r="K42" s="2">
        <f t="shared" si="6"/>
        <v>0.8400894153107948</v>
      </c>
      <c r="L42" s="16">
        <f t="shared" si="7"/>
        <v>1.7989011230449512</v>
      </c>
      <c r="M42" s="2">
        <f t="shared" si="8"/>
        <v>0.5414954149062895</v>
      </c>
      <c r="N42" s="16">
        <f t="shared" si="9"/>
        <v>1.9265107450241712</v>
      </c>
      <c r="O42" s="2">
        <f t="shared" si="10"/>
        <v>0.4865780931064492</v>
      </c>
      <c r="P42" s="16">
        <f t="shared" si="11"/>
        <v>1.2421592973331832</v>
      </c>
      <c r="Q42" s="2">
        <f t="shared" si="12"/>
        <v>0.7619659795636206</v>
      </c>
      <c r="R42" s="16">
        <f t="shared" si="13"/>
        <v>2.0603942124187355</v>
      </c>
      <c r="S42" s="2">
        <f t="shared" si="14"/>
        <v>0.42832678687716075</v>
      </c>
      <c r="T42" s="16">
        <v>1</v>
      </c>
      <c r="U42" s="2">
        <f t="shared" si="15"/>
        <v>5.57853936184003</v>
      </c>
      <c r="V42" s="16">
        <f t="shared" si="16"/>
        <v>7.465205017813497</v>
      </c>
      <c r="W42" s="1" t="s">
        <v>22</v>
      </c>
      <c r="X42" s="16">
        <v>25</v>
      </c>
      <c r="Y42" s="2">
        <f>(25/B13)^2</f>
        <v>0.25190162829212526</v>
      </c>
      <c r="Z42" s="16">
        <f>10*LOG(Y42^2/((Y42-1)^2+Y42/B12^2))</f>
        <v>-12.556886337884913</v>
      </c>
      <c r="AA42" s="1" t="s">
        <v>22</v>
      </c>
      <c r="AB42" s="16">
        <f t="shared" si="17"/>
        <v>-5.091681320071416</v>
      </c>
      <c r="AC42" s="1" t="s">
        <v>22</v>
      </c>
      <c r="AD42" s="16">
        <v>25</v>
      </c>
      <c r="AE42" s="2">
        <f>(AD42/B5)^2</f>
        <v>0.6503642039542142</v>
      </c>
      <c r="AF42" s="16">
        <f t="shared" si="18"/>
        <v>0.42297359778499877</v>
      </c>
      <c r="AG42" s="2">
        <f>AG41</f>
        <v>0.9365244536940688</v>
      </c>
      <c r="AH42" s="16">
        <f>AH41</f>
        <v>2.428762304692826</v>
      </c>
      <c r="AI42" s="2">
        <f>AI41</f>
        <v>3.6131094072020993</v>
      </c>
      <c r="AJ42" s="16">
        <f>AJ41</f>
        <v>2.5840082167625593</v>
      </c>
      <c r="AK42" s="2">
        <f>10*LOG(AF42^2/((AF42-AI41*AE42+AG41)^2+AE42*(AJ41*AE42-AH41)^2))</f>
        <v>-8.760514301175492</v>
      </c>
      <c r="AL42" s="15" t="s">
        <v>22</v>
      </c>
      <c r="AM42" s="2">
        <f t="shared" si="19"/>
        <v>-1.2953092833619948</v>
      </c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</row>
    <row r="43" spans="1:51" ht="12.75">
      <c r="A43" s="2">
        <f>A41</f>
        <v>1.8</v>
      </c>
      <c r="B43" s="16">
        <f>B41</f>
        <v>0.8</v>
      </c>
      <c r="C43" s="2">
        <f>C41</f>
        <v>1.1</v>
      </c>
      <c r="D43" s="16">
        <v>31</v>
      </c>
      <c r="E43" s="2">
        <f t="shared" si="0"/>
        <v>11.096774193548388</v>
      </c>
      <c r="F43" s="16">
        <f t="shared" si="1"/>
        <v>2.038382210119889</v>
      </c>
      <c r="G43" s="2">
        <f t="shared" si="2"/>
        <v>0.43792523552473306</v>
      </c>
      <c r="H43" s="16">
        <f t="shared" si="3"/>
        <v>0.9059476489421728</v>
      </c>
      <c r="I43" s="2">
        <f t="shared" si="4"/>
        <v>0.8687148222641989</v>
      </c>
      <c r="J43" s="16">
        <f t="shared" si="5"/>
        <v>1.2456780172954878</v>
      </c>
      <c r="K43" s="2">
        <f t="shared" si="6"/>
        <v>0.7607206110753015</v>
      </c>
      <c r="L43" s="16">
        <f t="shared" si="7"/>
        <v>2.2306373925757392</v>
      </c>
      <c r="M43" s="2">
        <f t="shared" si="8"/>
        <v>0.3541990596038181</v>
      </c>
      <c r="N43" s="16">
        <f t="shared" si="9"/>
        <v>2.388873323829972</v>
      </c>
      <c r="O43" s="2">
        <f t="shared" si="10"/>
        <v>0.28617086297280175</v>
      </c>
      <c r="P43" s="16">
        <f t="shared" si="11"/>
        <v>1.540277528693147</v>
      </c>
      <c r="Q43" s="2">
        <f t="shared" si="12"/>
        <v>0.6489313250411436</v>
      </c>
      <c r="R43" s="16">
        <f t="shared" si="13"/>
        <v>2.5548888233992315</v>
      </c>
      <c r="S43" s="2">
        <f t="shared" si="14"/>
        <v>0.21669008798629813</v>
      </c>
      <c r="T43" s="16">
        <v>1</v>
      </c>
      <c r="U43" s="2">
        <f t="shared" si="15"/>
        <v>4.573352004468296</v>
      </c>
      <c r="V43" s="16">
        <f t="shared" si="16"/>
        <v>6.602346297023094</v>
      </c>
      <c r="W43" s="1" t="s">
        <v>22</v>
      </c>
      <c r="X43" s="16">
        <v>31</v>
      </c>
      <c r="Y43" s="2">
        <f>(31/B13)^2</f>
        <v>0.38732394366197176</v>
      </c>
      <c r="Z43" s="16">
        <f>10*LOG(Y43^2/((Y43-1)^2+Y43/B12^2))</f>
        <v>-9.28594908659263</v>
      </c>
      <c r="AA43" s="1" t="s">
        <v>22</v>
      </c>
      <c r="AB43" s="16">
        <f t="shared" si="17"/>
        <v>-2.6836027895695365</v>
      </c>
      <c r="AC43" s="1" t="s">
        <v>22</v>
      </c>
      <c r="AD43" s="16">
        <v>31</v>
      </c>
      <c r="AE43" s="2">
        <f>(AD43/B5)^2</f>
        <v>1</v>
      </c>
      <c r="AF43" s="16">
        <f t="shared" si="18"/>
        <v>1</v>
      </c>
      <c r="AG43" s="2">
        <f>AG41</f>
        <v>0.9365244536940688</v>
      </c>
      <c r="AH43" s="16">
        <f>AH41</f>
        <v>2.428762304692826</v>
      </c>
      <c r="AI43" s="2">
        <f>AI41</f>
        <v>3.6131094072020993</v>
      </c>
      <c r="AJ43" s="16">
        <f>AJ41</f>
        <v>2.5840082167625593</v>
      </c>
      <c r="AK43" s="2">
        <f>10*LOG(AF43^2/((AF43-AI41*AE43+AG41)^2+AE43*(AJ41*AE43-AH41)^2))</f>
        <v>-4.525589456264837</v>
      </c>
      <c r="AL43" s="15" t="s">
        <v>22</v>
      </c>
      <c r="AM43" s="2">
        <f t="shared" si="19"/>
        <v>2.0767568407582573</v>
      </c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</row>
    <row r="44" spans="1:51" ht="12.75">
      <c r="A44" s="2">
        <f>A41</f>
        <v>1.8</v>
      </c>
      <c r="B44" s="16">
        <f>B41</f>
        <v>0.8</v>
      </c>
      <c r="C44" s="2">
        <f>C41</f>
        <v>1.1</v>
      </c>
      <c r="D44" s="16">
        <v>40</v>
      </c>
      <c r="E44" s="2">
        <f t="shared" si="0"/>
        <v>8.6</v>
      </c>
      <c r="F44" s="16">
        <f t="shared" si="1"/>
        <v>2.630170593703083</v>
      </c>
      <c r="G44" s="2">
        <f t="shared" si="2"/>
        <v>0.18607836654504673</v>
      </c>
      <c r="H44" s="16">
        <f t="shared" si="3"/>
        <v>1.1689647083124812</v>
      </c>
      <c r="I44" s="2">
        <f t="shared" si="4"/>
        <v>0.7873173390305104</v>
      </c>
      <c r="J44" s="16">
        <f t="shared" si="5"/>
        <v>1.6073264739296618</v>
      </c>
      <c r="K44" s="2">
        <f t="shared" si="6"/>
        <v>0.6217360720296151</v>
      </c>
      <c r="L44" s="16">
        <f t="shared" si="7"/>
        <v>2.8782417968719223</v>
      </c>
      <c r="M44" s="2">
        <f t="shared" si="8"/>
        <v>0.09044317860494835</v>
      </c>
      <c r="N44" s="16">
        <f t="shared" si="9"/>
        <v>3.082417192038674</v>
      </c>
      <c r="O44" s="2">
        <f t="shared" si="10"/>
        <v>0.019186543475332517</v>
      </c>
      <c r="P44" s="16">
        <f t="shared" si="11"/>
        <v>1.9874548757330932</v>
      </c>
      <c r="Q44" s="2">
        <f t="shared" si="12"/>
        <v>0.460109239757875</v>
      </c>
      <c r="R44" s="16">
        <f t="shared" si="13"/>
        <v>3.296630739869977</v>
      </c>
      <c r="S44" s="2">
        <f t="shared" si="14"/>
        <v>-0.04684107534265158</v>
      </c>
      <c r="T44" s="16">
        <v>1</v>
      </c>
      <c r="U44" s="2">
        <f t="shared" si="15"/>
        <v>3.1180296641006766</v>
      </c>
      <c r="V44" s="16">
        <f t="shared" si="16"/>
        <v>4.938802426340775</v>
      </c>
      <c r="W44" s="1" t="s">
        <v>22</v>
      </c>
      <c r="X44" s="16">
        <v>40</v>
      </c>
      <c r="Y44" s="2">
        <f>(40/B13)^2</f>
        <v>0.6448681684278407</v>
      </c>
      <c r="Z44" s="16">
        <f>10*LOG(Y44^2/((Y44-1)^2+Y44/B12^2))</f>
        <v>-5.906253485789128</v>
      </c>
      <c r="AA44" s="1" t="s">
        <v>22</v>
      </c>
      <c r="AB44" s="16">
        <f t="shared" si="17"/>
        <v>-0.9674510594483525</v>
      </c>
      <c r="AC44" s="1" t="s">
        <v>22</v>
      </c>
      <c r="AD44" s="16">
        <v>40</v>
      </c>
      <c r="AE44" s="2">
        <f>(AD44/B5)^2</f>
        <v>1.6649323621227887</v>
      </c>
      <c r="AF44" s="16">
        <f t="shared" si="18"/>
        <v>2.771999770443769</v>
      </c>
      <c r="AG44" s="2">
        <f>AG41</f>
        <v>0.9365244536940688</v>
      </c>
      <c r="AH44" s="16">
        <f>AH41</f>
        <v>2.428762304692826</v>
      </c>
      <c r="AI44" s="2">
        <f>AI41</f>
        <v>3.6131094072020993</v>
      </c>
      <c r="AJ44" s="16">
        <f>AJ41</f>
        <v>2.5840082167625593</v>
      </c>
      <c r="AK44" s="2">
        <f>10*LOG(AF44^2/((AF44-AI41*AE44+AG41)^2+AE44*(AJ41*AE44-AH41)^2))</f>
        <v>-1.6231279929466635</v>
      </c>
      <c r="AL44" s="15" t="s">
        <v>22</v>
      </c>
      <c r="AM44" s="2">
        <f t="shared" si="19"/>
        <v>3.3156744333941113</v>
      </c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</row>
    <row r="45" spans="1:51" ht="12.75">
      <c r="A45" s="2">
        <f>A41</f>
        <v>1.8</v>
      </c>
      <c r="B45" s="16">
        <f>B41</f>
        <v>0.8</v>
      </c>
      <c r="C45" s="2">
        <f>C41</f>
        <v>1.1</v>
      </c>
      <c r="D45" s="16">
        <v>50</v>
      </c>
      <c r="E45" s="2">
        <f t="shared" si="0"/>
        <v>6.88</v>
      </c>
      <c r="F45" s="16">
        <f t="shared" si="1"/>
        <v>3.2877132421288535</v>
      </c>
      <c r="G45" s="2">
        <f t="shared" si="2"/>
        <v>-0.04428645596862506</v>
      </c>
      <c r="H45" s="16">
        <f t="shared" si="3"/>
        <v>1.4612058853906014</v>
      </c>
      <c r="I45" s="2">
        <f t="shared" si="4"/>
        <v>0.6802607251846889</v>
      </c>
      <c r="J45" s="16">
        <f t="shared" si="5"/>
        <v>2.0091580924120773</v>
      </c>
      <c r="K45" s="2">
        <f t="shared" si="6"/>
        <v>0.4506605233867478</v>
      </c>
      <c r="L45" s="16">
        <f t="shared" si="7"/>
        <v>3.5978022460899024</v>
      </c>
      <c r="M45" s="2">
        <f t="shared" si="8"/>
        <v>-0.12244934315965202</v>
      </c>
      <c r="N45" s="16">
        <f t="shared" si="9"/>
        <v>3.8530214900483424</v>
      </c>
      <c r="O45" s="2">
        <f t="shared" si="10"/>
        <v>-0.16945575882542763</v>
      </c>
      <c r="P45" s="16">
        <f t="shared" si="11"/>
        <v>2.4843185946663664</v>
      </c>
      <c r="Q45" s="2">
        <f t="shared" si="12"/>
        <v>0.24592703436629348</v>
      </c>
      <c r="R45" s="16">
        <f t="shared" si="13"/>
        <v>4.120788424837471</v>
      </c>
      <c r="S45" s="2">
        <f t="shared" si="14"/>
        <v>-0.20142968840945868</v>
      </c>
      <c r="T45" s="16">
        <v>1</v>
      </c>
      <c r="U45" s="2">
        <f t="shared" si="15"/>
        <v>1.8392270365745669</v>
      </c>
      <c r="V45" s="16">
        <f t="shared" si="16"/>
        <v>2.646353424221846</v>
      </c>
      <c r="W45" s="1" t="s">
        <v>22</v>
      </c>
      <c r="X45" s="16">
        <v>50</v>
      </c>
      <c r="Y45" s="2">
        <f>(50/B13)^2</f>
        <v>1.007606513168501</v>
      </c>
      <c r="Z45" s="16">
        <f>10*LOG(Y45^2/((Y45-1)^2+Y45/B12^2))</f>
        <v>-3.616215942508239</v>
      </c>
      <c r="AA45" s="1" t="s">
        <v>22</v>
      </c>
      <c r="AB45" s="16">
        <f t="shared" si="17"/>
        <v>-0.9698625182863929</v>
      </c>
      <c r="AC45" s="1" t="s">
        <v>22</v>
      </c>
      <c r="AD45" s="16">
        <v>50</v>
      </c>
      <c r="AE45" s="2">
        <f>(AD45/B5)^2</f>
        <v>2.601456815816857</v>
      </c>
      <c r="AF45" s="16">
        <f t="shared" si="18"/>
        <v>6.76757756455998</v>
      </c>
      <c r="AG45" s="2">
        <f>AG41</f>
        <v>0.9365244536940688</v>
      </c>
      <c r="AH45" s="16">
        <f>AH41</f>
        <v>2.428762304692826</v>
      </c>
      <c r="AI45" s="2">
        <f>AI41</f>
        <v>3.6131094072020993</v>
      </c>
      <c r="AJ45" s="16">
        <f>AJ41</f>
        <v>2.5840082167625593</v>
      </c>
      <c r="AK45" s="2">
        <f>10*LOG(AF45^2/((AF45-AI41*AE45+AG41)^2+AE45*(AJ41*AE45-AH41)^2))</f>
        <v>-0.45234614561947056</v>
      </c>
      <c r="AL45" s="15" t="s">
        <v>22</v>
      </c>
      <c r="AM45" s="2">
        <f t="shared" si="19"/>
        <v>2.1940072786023754</v>
      </c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</row>
    <row r="46" spans="1:51" ht="12.75">
      <c r="A46" s="2">
        <f>A41</f>
        <v>1.8</v>
      </c>
      <c r="B46" s="16">
        <f>B41</f>
        <v>0.8</v>
      </c>
      <c r="C46" s="2">
        <f>C41</f>
        <v>1.1</v>
      </c>
      <c r="D46" s="16">
        <v>63</v>
      </c>
      <c r="E46" s="2">
        <f t="shared" si="0"/>
        <v>5.4603174603174605</v>
      </c>
      <c r="F46" s="16">
        <f t="shared" si="1"/>
        <v>4.142518685082355</v>
      </c>
      <c r="G46" s="2">
        <f t="shared" si="2"/>
        <v>-0.20325097480526763</v>
      </c>
      <c r="H46" s="16">
        <f t="shared" si="3"/>
        <v>1.8411194155921577</v>
      </c>
      <c r="I46" s="2">
        <f t="shared" si="4"/>
        <v>0.5234232282625169</v>
      </c>
      <c r="J46" s="16">
        <f t="shared" si="5"/>
        <v>2.5315391964392173</v>
      </c>
      <c r="K46" s="2">
        <f t="shared" si="6"/>
        <v>0.22630946269181856</v>
      </c>
      <c r="L46" s="16">
        <f t="shared" si="7"/>
        <v>4.533230830073277</v>
      </c>
      <c r="M46" s="2">
        <f t="shared" si="8"/>
        <v>-0.2170624212653863</v>
      </c>
      <c r="N46" s="16">
        <f t="shared" si="9"/>
        <v>4.854807077460912</v>
      </c>
      <c r="O46" s="2">
        <f t="shared" si="10"/>
        <v>-0.20389598535207115</v>
      </c>
      <c r="P46" s="16">
        <f t="shared" si="11"/>
        <v>3.1302414292796215</v>
      </c>
      <c r="Q46" s="2">
        <f t="shared" si="12"/>
        <v>0.003626231650207727</v>
      </c>
      <c r="R46" s="16">
        <f t="shared" si="13"/>
        <v>5.192193415295213</v>
      </c>
      <c r="S46" s="2">
        <f t="shared" si="14"/>
        <v>-0.17084980137477834</v>
      </c>
      <c r="T46" s="16">
        <v>1</v>
      </c>
      <c r="U46" s="2">
        <f t="shared" si="15"/>
        <v>0.9582997398070398</v>
      </c>
      <c r="V46" s="16">
        <f t="shared" si="16"/>
        <v>-0.1849862976929696</v>
      </c>
      <c r="W46" s="1" t="s">
        <v>22</v>
      </c>
      <c r="X46" s="16">
        <v>63</v>
      </c>
      <c r="Y46" s="2">
        <f>(63/B13)^2</f>
        <v>1.5996761003063122</v>
      </c>
      <c r="Z46" s="16">
        <f>10*LOG(Y46^2/((Y46-1)^2+Y46/B12^2))</f>
        <v>-2.0108767827439125</v>
      </c>
      <c r="AA46" s="1" t="s">
        <v>22</v>
      </c>
      <c r="AB46" s="16">
        <f t="shared" si="17"/>
        <v>-2.195863080436882</v>
      </c>
      <c r="AC46" s="1" t="s">
        <v>22</v>
      </c>
      <c r="AD46" s="16">
        <v>63</v>
      </c>
      <c r="AE46" s="2">
        <f>(AD46/B5)^2</f>
        <v>4.1300728407908425</v>
      </c>
      <c r="AF46" s="16">
        <f t="shared" si="18"/>
        <v>17.05750167023814</v>
      </c>
      <c r="AG46" s="2">
        <f>AG41</f>
        <v>0.9365244536940688</v>
      </c>
      <c r="AH46" s="16">
        <f>AH41</f>
        <v>2.428762304692826</v>
      </c>
      <c r="AI46" s="2">
        <f>AI41</f>
        <v>3.6131094072020993</v>
      </c>
      <c r="AJ46" s="16">
        <f>AJ41</f>
        <v>2.5840082167625593</v>
      </c>
      <c r="AK46" s="2">
        <f>10*LOG(AF46^2/((AF46-AI41*AE46+AG41)^2+AE46*(AJ41*AE46-AH41)^2))</f>
        <v>0.013026053544313628</v>
      </c>
      <c r="AL46" s="15" t="s">
        <v>22</v>
      </c>
      <c r="AM46" s="2">
        <f t="shared" si="19"/>
        <v>-0.17196024414865596</v>
      </c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1:51" ht="12.75">
      <c r="A47" s="2">
        <f>A41</f>
        <v>1.8</v>
      </c>
      <c r="B47" s="16">
        <f>B41</f>
        <v>0.8</v>
      </c>
      <c r="C47" s="2">
        <f>C41</f>
        <v>1.1</v>
      </c>
      <c r="D47" s="16">
        <v>80</v>
      </c>
      <c r="E47" s="2">
        <f t="shared" si="0"/>
        <v>4.3</v>
      </c>
      <c r="F47" s="16">
        <f t="shared" si="1"/>
        <v>5.260341187406166</v>
      </c>
      <c r="G47" s="2">
        <f t="shared" si="2"/>
        <v>-0.1622695294139745</v>
      </c>
      <c r="H47" s="16">
        <f t="shared" si="3"/>
        <v>2.3379294166249625</v>
      </c>
      <c r="I47" s="2">
        <f t="shared" si="4"/>
        <v>0.3079235278185811</v>
      </c>
      <c r="J47" s="16">
        <f t="shared" si="5"/>
        <v>3.2146529478593235</v>
      </c>
      <c r="K47" s="2">
        <f t="shared" si="6"/>
        <v>-0.022707059158443905</v>
      </c>
      <c r="L47" s="16">
        <f t="shared" si="7"/>
        <v>5.7564835937438446</v>
      </c>
      <c r="M47" s="2">
        <f t="shared" si="8"/>
        <v>-0.08732497946729818</v>
      </c>
      <c r="N47" s="16">
        <f t="shared" si="9"/>
        <v>6.164834384077348</v>
      </c>
      <c r="O47" s="2">
        <f t="shared" si="10"/>
        <v>-0.019152960179228334</v>
      </c>
      <c r="P47" s="16">
        <f t="shared" si="11"/>
        <v>3.9749097514661864</v>
      </c>
      <c r="Q47" s="2">
        <f t="shared" si="12"/>
        <v>-0.18620949466976786</v>
      </c>
      <c r="R47" s="16">
        <f t="shared" si="13"/>
        <v>6.593261479739954</v>
      </c>
      <c r="S47" s="2">
        <f t="shared" si="14"/>
        <v>0.0462792471043838</v>
      </c>
      <c r="T47" s="16">
        <v>1</v>
      </c>
      <c r="U47" s="2">
        <f t="shared" si="15"/>
        <v>0.8765387520342521</v>
      </c>
      <c r="V47" s="16">
        <f t="shared" si="16"/>
        <v>-0.5722887885985235</v>
      </c>
      <c r="W47" s="1" t="s">
        <v>22</v>
      </c>
      <c r="X47" s="16">
        <v>80</v>
      </c>
      <c r="Y47" s="2">
        <f>(80/B13)^2</f>
        <v>2.5794726737113627</v>
      </c>
      <c r="Z47" s="16">
        <f>10*LOG(Y47^2/((Y47-1)^2+Y47/B12^2))</f>
        <v>-1.0487479672812232</v>
      </c>
      <c r="AA47" s="1" t="s">
        <v>22</v>
      </c>
      <c r="AB47" s="16">
        <f t="shared" si="17"/>
        <v>-1.6210367558797467</v>
      </c>
      <c r="AC47" s="1" t="s">
        <v>22</v>
      </c>
      <c r="AD47" s="16">
        <v>80</v>
      </c>
      <c r="AE47" s="2">
        <f>(AD47/B5)^2</f>
        <v>6.659729448491155</v>
      </c>
      <c r="AF47" s="16">
        <f t="shared" si="18"/>
        <v>44.3519963271003</v>
      </c>
      <c r="AG47" s="2">
        <f>AG41</f>
        <v>0.9365244536940688</v>
      </c>
      <c r="AH47" s="16">
        <f>AH41</f>
        <v>2.428762304692826</v>
      </c>
      <c r="AI47" s="2">
        <f>AI41</f>
        <v>3.6131094072020993</v>
      </c>
      <c r="AJ47" s="16">
        <f>AJ41</f>
        <v>2.5840082167625593</v>
      </c>
      <c r="AK47" s="2">
        <f>10*LOG(AF47^2/((AF47-AI41*AE47+AG41)^2+AE47*(AJ41*AE47-AH41)^2))</f>
        <v>0.13848178405532074</v>
      </c>
      <c r="AL47" s="15" t="s">
        <v>22</v>
      </c>
      <c r="AM47" s="2">
        <f t="shared" si="19"/>
        <v>-0.43380700454320276</v>
      </c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</row>
    <row r="48" spans="1:51" ht="12.75">
      <c r="A48" s="2">
        <f>A41</f>
        <v>1.8</v>
      </c>
      <c r="B48" s="16">
        <f>B41</f>
        <v>0.8</v>
      </c>
      <c r="C48" s="2">
        <f>C41</f>
        <v>1.1</v>
      </c>
      <c r="D48" s="16">
        <v>100</v>
      </c>
      <c r="E48" s="2">
        <f t="shared" si="0"/>
        <v>3.44</v>
      </c>
      <c r="F48" s="16">
        <f t="shared" si="1"/>
        <v>6.575426484257707</v>
      </c>
      <c r="G48" s="2">
        <f t="shared" si="2"/>
        <v>0.043814511508109576</v>
      </c>
      <c r="H48" s="16">
        <f t="shared" si="3"/>
        <v>2.9224117707812027</v>
      </c>
      <c r="I48" s="2">
        <f t="shared" si="4"/>
        <v>0.07440093752545865</v>
      </c>
      <c r="J48" s="16">
        <f t="shared" si="5"/>
        <v>4.018316184824155</v>
      </c>
      <c r="K48" s="2">
        <f t="shared" si="6"/>
        <v>-0.19128587807038613</v>
      </c>
      <c r="L48" s="16">
        <f t="shared" si="7"/>
        <v>7.195604492179805</v>
      </c>
      <c r="M48" s="2">
        <f t="shared" si="8"/>
        <v>0.10992630200084032</v>
      </c>
      <c r="N48" s="16">
        <f t="shared" si="9"/>
        <v>7.706042980096685</v>
      </c>
      <c r="O48" s="2">
        <f t="shared" si="10"/>
        <v>0.12835083106477346</v>
      </c>
      <c r="P48" s="16">
        <f t="shared" si="11"/>
        <v>4.968637189332733</v>
      </c>
      <c r="Q48" s="2">
        <f t="shared" si="12"/>
        <v>-0.19469074720307764</v>
      </c>
      <c r="R48" s="16">
        <f t="shared" si="13"/>
        <v>8.241576849674942</v>
      </c>
      <c r="S48" s="2">
        <f t="shared" si="14"/>
        <v>0.11233537860860832</v>
      </c>
      <c r="T48" s="16">
        <v>1</v>
      </c>
      <c r="U48" s="2">
        <f t="shared" si="15"/>
        <v>1.0828513354343265</v>
      </c>
      <c r="V48" s="16">
        <f t="shared" si="16"/>
        <v>0.34568836466197134</v>
      </c>
      <c r="W48" s="1" t="s">
        <v>22</v>
      </c>
      <c r="X48" s="16">
        <v>100</v>
      </c>
      <c r="Y48" s="2">
        <f>(100/B13)^2</f>
        <v>4.030426052674004</v>
      </c>
      <c r="Z48" s="16">
        <f>10*LOG(Y48^2/((Y48-1)^2+Y48/B12^2))</f>
        <v>-0.5697325808883422</v>
      </c>
      <c r="AA48" s="1" t="s">
        <v>22</v>
      </c>
      <c r="AB48" s="16">
        <f t="shared" si="17"/>
        <v>-0.22404421622637088</v>
      </c>
      <c r="AC48" s="1" t="s">
        <v>22</v>
      </c>
      <c r="AD48" s="16">
        <v>100</v>
      </c>
      <c r="AE48" s="2">
        <f>(AD48/B5)^2</f>
        <v>10.405827263267428</v>
      </c>
      <c r="AF48" s="16">
        <f t="shared" si="18"/>
        <v>108.28124103295968</v>
      </c>
      <c r="AG48" s="2">
        <f>AG41</f>
        <v>0.9365244536940688</v>
      </c>
      <c r="AH48" s="16">
        <f>AH41</f>
        <v>2.428762304692826</v>
      </c>
      <c r="AI48" s="2">
        <f>AI41</f>
        <v>3.6131094072020993</v>
      </c>
      <c r="AJ48" s="16">
        <f>AJ41</f>
        <v>2.5840082167625593</v>
      </c>
      <c r="AK48" s="2">
        <f>10*LOG(AF48^2/((AF48-AI41*AE48+AG41)^2+AE48*(AJ41*AE48-AH41)^2))</f>
        <v>0.13912153408534025</v>
      </c>
      <c r="AL48" s="15" t="s">
        <v>22</v>
      </c>
      <c r="AM48" s="2">
        <f t="shared" si="19"/>
        <v>0.4848098987473116</v>
      </c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</row>
    <row r="49" spans="1:51" ht="12.75">
      <c r="A49" s="2">
        <f>A41</f>
        <v>1.8</v>
      </c>
      <c r="B49" s="16">
        <f>B41</f>
        <v>0.8</v>
      </c>
      <c r="C49" s="2">
        <f>C41</f>
        <v>1.1</v>
      </c>
      <c r="D49" s="16">
        <v>125</v>
      </c>
      <c r="E49" s="2">
        <f t="shared" si="0"/>
        <v>2.752</v>
      </c>
      <c r="F49" s="16">
        <f t="shared" si="1"/>
        <v>8.219283105322134</v>
      </c>
      <c r="G49" s="2">
        <f t="shared" si="2"/>
        <v>0.11363717452775846</v>
      </c>
      <c r="H49" s="16">
        <f t="shared" si="3"/>
        <v>3.653014713476504</v>
      </c>
      <c r="I49" s="2">
        <f t="shared" si="4"/>
        <v>-0.1339764239124337</v>
      </c>
      <c r="J49" s="16">
        <f t="shared" si="5"/>
        <v>5.022895231030193</v>
      </c>
      <c r="K49" s="2">
        <f t="shared" si="6"/>
        <v>-0.1895677627997738</v>
      </c>
      <c r="L49" s="16">
        <f t="shared" si="7"/>
        <v>8.994505615224757</v>
      </c>
      <c r="M49" s="2">
        <f t="shared" si="8"/>
        <v>0.046374793410785584</v>
      </c>
      <c r="N49" s="16">
        <f t="shared" si="9"/>
        <v>9.632553725120857</v>
      </c>
      <c r="O49" s="2">
        <f t="shared" si="10"/>
        <v>-0.021415298647875353</v>
      </c>
      <c r="P49" s="16">
        <f t="shared" si="11"/>
        <v>6.210796486665917</v>
      </c>
      <c r="Q49" s="2">
        <f t="shared" si="12"/>
        <v>-0.011645143413763897</v>
      </c>
      <c r="R49" s="16">
        <f t="shared" si="13"/>
        <v>10.301971062093678</v>
      </c>
      <c r="S49" s="2">
        <f t="shared" si="14"/>
        <v>-0.07464080627961389</v>
      </c>
      <c r="T49" s="16">
        <v>1</v>
      </c>
      <c r="U49" s="2">
        <f t="shared" si="15"/>
        <v>0.7287665328850834</v>
      </c>
      <c r="V49" s="16">
        <f t="shared" si="16"/>
        <v>-1.3741157966439943</v>
      </c>
      <c r="W49" s="1" t="s">
        <v>22</v>
      </c>
      <c r="X49" s="16">
        <v>125</v>
      </c>
      <c r="Y49" s="2">
        <f>(125/B13)^2</f>
        <v>6.297540707303131</v>
      </c>
      <c r="Z49" s="16">
        <f>10*LOG(Y49^2/((Y49-1)^2+Y49/B12^2))</f>
        <v>-0.3162314384950485</v>
      </c>
      <c r="AA49" s="1" t="s">
        <v>22</v>
      </c>
      <c r="AB49" s="16">
        <f t="shared" si="17"/>
        <v>-1.6903472351390427</v>
      </c>
      <c r="AC49" s="1" t="s">
        <v>22</v>
      </c>
      <c r="AD49" s="16">
        <v>125</v>
      </c>
      <c r="AE49" s="2">
        <f>(AD49/B5)^2</f>
        <v>16.259105098855358</v>
      </c>
      <c r="AF49" s="16">
        <f t="shared" si="18"/>
        <v>264.3584986156243</v>
      </c>
      <c r="AG49" s="2">
        <f>AG41</f>
        <v>0.9365244536940688</v>
      </c>
      <c r="AH49" s="16">
        <f>AH41</f>
        <v>2.428762304692826</v>
      </c>
      <c r="AI49" s="2">
        <f>AI41</f>
        <v>3.6131094072020993</v>
      </c>
      <c r="AJ49" s="16">
        <f>AJ41</f>
        <v>2.5840082167625593</v>
      </c>
      <c r="AK49" s="2">
        <f>10*LOG(AF49^2/((AF49-AI41*AE49+AG41)^2+AE49*(AJ41*AE49-AH41)^2))</f>
        <v>0.10984643508889101</v>
      </c>
      <c r="AL49" s="15" t="s">
        <v>22</v>
      </c>
      <c r="AM49" s="2">
        <f t="shared" si="19"/>
        <v>-1.2642693615551033</v>
      </c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</row>
    <row r="50" spans="1:51" ht="12.75">
      <c r="A50" s="2">
        <f>A41</f>
        <v>1.8</v>
      </c>
      <c r="B50" s="16">
        <f>B41</f>
        <v>0.8</v>
      </c>
      <c r="C50" s="2">
        <f>C41</f>
        <v>1.1</v>
      </c>
      <c r="D50" s="16">
        <v>160</v>
      </c>
      <c r="E50" s="2">
        <f t="shared" si="0"/>
        <v>2.15</v>
      </c>
      <c r="F50" s="16">
        <f t="shared" si="1"/>
        <v>10.520682374812331</v>
      </c>
      <c r="G50" s="2">
        <f t="shared" si="2"/>
        <v>-0.08453274390373212</v>
      </c>
      <c r="H50" s="16">
        <f t="shared" si="3"/>
        <v>4.675858833249925</v>
      </c>
      <c r="I50" s="2">
        <f t="shared" si="4"/>
        <v>-0.2137217747601802</v>
      </c>
      <c r="J50" s="16">
        <f t="shared" si="5"/>
        <v>6.429305895718647</v>
      </c>
      <c r="K50" s="2">
        <f t="shared" si="6"/>
        <v>0.022646483165774223</v>
      </c>
      <c r="L50" s="16">
        <f t="shared" si="7"/>
        <v>11.512967187487689</v>
      </c>
      <c r="M50" s="2">
        <f t="shared" si="8"/>
        <v>-0.07548980475954101</v>
      </c>
      <c r="N50" s="16">
        <f t="shared" si="9"/>
        <v>12.329668768154695</v>
      </c>
      <c r="O50" s="2">
        <f t="shared" si="10"/>
        <v>-0.019018979485526527</v>
      </c>
      <c r="P50" s="16">
        <f t="shared" si="11"/>
        <v>7.949819502932373</v>
      </c>
      <c r="Q50" s="2">
        <f t="shared" si="12"/>
        <v>0.1252117818638425</v>
      </c>
      <c r="R50" s="16">
        <f t="shared" si="13"/>
        <v>13.186522959479907</v>
      </c>
      <c r="S50" s="2">
        <f t="shared" si="14"/>
        <v>0.044072205083307066</v>
      </c>
      <c r="T50" s="16">
        <v>1</v>
      </c>
      <c r="U50" s="2">
        <f t="shared" si="15"/>
        <v>0.7991671672039439</v>
      </c>
      <c r="V50" s="16">
        <f t="shared" si="16"/>
        <v>-0.9736236686798179</v>
      </c>
      <c r="W50" s="1" t="s">
        <v>22</v>
      </c>
      <c r="X50" s="16">
        <v>160</v>
      </c>
      <c r="Y50" s="2">
        <f>(160/B13)^2</f>
        <v>10.31789069484545</v>
      </c>
      <c r="Z50" s="16">
        <f>10*LOG(Y50^2/((Y50-1)^2+Y50/B12^2))</f>
        <v>-0.1707680876776198</v>
      </c>
      <c r="AA50" s="1" t="s">
        <v>22</v>
      </c>
      <c r="AB50" s="16">
        <f t="shared" si="17"/>
        <v>-1.1443917563574377</v>
      </c>
      <c r="AC50" s="1" t="s">
        <v>22</v>
      </c>
      <c r="AD50" s="16">
        <v>160</v>
      </c>
      <c r="AE50" s="2">
        <f>(AD50/B5)^2</f>
        <v>26.63891779396462</v>
      </c>
      <c r="AF50" s="16">
        <f t="shared" si="18"/>
        <v>709.6319412336048</v>
      </c>
      <c r="AG50" s="2">
        <f>AG41</f>
        <v>0.9365244536940688</v>
      </c>
      <c r="AH50" s="16">
        <f>AH41</f>
        <v>2.428762304692826</v>
      </c>
      <c r="AI50" s="2">
        <f>AI41</f>
        <v>3.6131094072020993</v>
      </c>
      <c r="AJ50" s="16">
        <f>AJ41</f>
        <v>2.5840082167625593</v>
      </c>
      <c r="AK50" s="2">
        <f>10*LOG(AF50^2/((AF50-AI41*AE50+AG41)^2+AE50*(AJ41*AE50-AH41)^2))</f>
        <v>0.07583394928204726</v>
      </c>
      <c r="AL50" s="15" t="s">
        <v>22</v>
      </c>
      <c r="AM50" s="2">
        <f t="shared" si="19"/>
        <v>-0.8977897193977706</v>
      </c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</row>
    <row r="51" spans="1:51" ht="12.75">
      <c r="A51" s="2">
        <f>A41</f>
        <v>1.8</v>
      </c>
      <c r="B51" s="16">
        <f>B41</f>
        <v>0.8</v>
      </c>
      <c r="C51" s="2">
        <f>C41</f>
        <v>1.1</v>
      </c>
      <c r="D51" s="16">
        <v>200</v>
      </c>
      <c r="E51" s="2">
        <f t="shared" si="0"/>
        <v>1.72</v>
      </c>
      <c r="F51" s="16">
        <f t="shared" si="1"/>
        <v>13.150852968515414</v>
      </c>
      <c r="G51" s="2">
        <f t="shared" si="2"/>
        <v>0.04195680250485948</v>
      </c>
      <c r="H51" s="16">
        <f t="shared" si="3"/>
        <v>5.8448235415624055</v>
      </c>
      <c r="I51" s="2">
        <f t="shared" si="4"/>
        <v>-0.07262096038614575</v>
      </c>
      <c r="J51" s="16">
        <f t="shared" si="5"/>
        <v>8.03663236964831</v>
      </c>
      <c r="K51" s="2">
        <f t="shared" si="6"/>
        <v>0.12236041560682948</v>
      </c>
      <c r="L51" s="16">
        <f t="shared" si="7"/>
        <v>14.39120898435961</v>
      </c>
      <c r="M51" s="2">
        <f t="shared" si="8"/>
        <v>0.06725664903507603</v>
      </c>
      <c r="N51" s="16">
        <f t="shared" si="9"/>
        <v>15.41208596019337</v>
      </c>
      <c r="O51" s="2">
        <f t="shared" si="10"/>
        <v>0.01891886334026347</v>
      </c>
      <c r="P51" s="16">
        <f t="shared" si="11"/>
        <v>9.937274378665466</v>
      </c>
      <c r="Q51" s="2">
        <f t="shared" si="12"/>
        <v>-0.04934496520451891</v>
      </c>
      <c r="R51" s="16">
        <f t="shared" si="13"/>
        <v>16.483153699349884</v>
      </c>
      <c r="S51" s="2">
        <f t="shared" si="14"/>
        <v>-0.04245862919329884</v>
      </c>
      <c r="T51" s="16">
        <v>1</v>
      </c>
      <c r="U51" s="2">
        <f t="shared" si="15"/>
        <v>1.086068175703065</v>
      </c>
      <c r="V51" s="16">
        <f t="shared" si="16"/>
        <v>0.35857088054228153</v>
      </c>
      <c r="W51" s="1" t="s">
        <v>22</v>
      </c>
      <c r="X51" s="16">
        <v>200</v>
      </c>
      <c r="Y51" s="2">
        <f>(200/B13)^2</f>
        <v>16.121704210696016</v>
      </c>
      <c r="Z51" s="16">
        <f>10*LOG(Y51^2/((Y51-1)^2+Y51/B12^2))</f>
        <v>-0.10088868996652656</v>
      </c>
      <c r="AA51" s="1" t="s">
        <v>22</v>
      </c>
      <c r="AB51" s="16">
        <f t="shared" si="17"/>
        <v>0.257682190575755</v>
      </c>
      <c r="AC51" s="1" t="s">
        <v>22</v>
      </c>
      <c r="AD51" s="16">
        <v>200</v>
      </c>
      <c r="AE51" s="2">
        <f>(AD51/B5)^2</f>
        <v>41.62330905306971</v>
      </c>
      <c r="AF51" s="16">
        <f t="shared" si="18"/>
        <v>1732.499856527355</v>
      </c>
      <c r="AG51" s="2">
        <f>AG41</f>
        <v>0.9365244536940688</v>
      </c>
      <c r="AH51" s="16">
        <f>AH41</f>
        <v>2.428762304692826</v>
      </c>
      <c r="AI51" s="2">
        <f>AI41</f>
        <v>3.6131094072020993</v>
      </c>
      <c r="AJ51" s="16">
        <f>AJ41</f>
        <v>2.5840082167625593</v>
      </c>
      <c r="AK51" s="2">
        <f>10*LOG(AF51^2/((AF51-AI41*AE51+AG41)^2+AE51*(AJ41*AE51-AH41)^2))</f>
        <v>0.05169697470729037</v>
      </c>
      <c r="AL51" s="15" t="s">
        <v>22</v>
      </c>
      <c r="AM51" s="2">
        <f t="shared" si="19"/>
        <v>0.4102678552495719</v>
      </c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</row>
    <row r="52" spans="1:51" ht="12.75">
      <c r="A52" s="2">
        <f>A41</f>
        <v>1.8</v>
      </c>
      <c r="B52" s="16">
        <f>B41</f>
        <v>0.8</v>
      </c>
      <c r="C52" s="2">
        <f>C41</f>
        <v>1.1</v>
      </c>
      <c r="D52" s="16">
        <v>250</v>
      </c>
      <c r="E52" s="2">
        <f t="shared" si="0"/>
        <v>1.376</v>
      </c>
      <c r="F52" s="16">
        <f t="shared" si="1"/>
        <v>16.438566210644268</v>
      </c>
      <c r="G52" s="2">
        <f t="shared" si="2"/>
        <v>-0.040594708971037834</v>
      </c>
      <c r="H52" s="16">
        <f t="shared" si="3"/>
        <v>7.306029426953008</v>
      </c>
      <c r="I52" s="2">
        <f t="shared" si="4"/>
        <v>0.11683406117806167</v>
      </c>
      <c r="J52" s="16">
        <f t="shared" si="5"/>
        <v>10.045790462060387</v>
      </c>
      <c r="K52" s="2">
        <f t="shared" si="6"/>
        <v>-0.0579206701309809</v>
      </c>
      <c r="L52" s="16">
        <f t="shared" si="7"/>
        <v>17.989011230449513</v>
      </c>
      <c r="M52" s="2">
        <f t="shared" si="8"/>
        <v>-0.042147832230377574</v>
      </c>
      <c r="N52" s="16">
        <f t="shared" si="9"/>
        <v>19.265107450241715</v>
      </c>
      <c r="O52" s="2">
        <f t="shared" si="10"/>
        <v>0.02095470180989446</v>
      </c>
      <c r="P52" s="16">
        <f t="shared" si="11"/>
        <v>12.421592973331833</v>
      </c>
      <c r="Q52" s="2">
        <f t="shared" si="12"/>
        <v>-0.011614645636296656</v>
      </c>
      <c r="R52" s="16">
        <f t="shared" si="13"/>
        <v>20.603942124187355</v>
      </c>
      <c r="S52" s="2">
        <f t="shared" si="14"/>
        <v>0.04771876443872111</v>
      </c>
      <c r="T52" s="16">
        <v>1</v>
      </c>
      <c r="U52" s="2">
        <f t="shared" si="15"/>
        <v>1.0332296704579842</v>
      </c>
      <c r="V52" s="16">
        <f t="shared" si="16"/>
        <v>0.1419686897936876</v>
      </c>
      <c r="W52" s="1" t="s">
        <v>22</v>
      </c>
      <c r="X52" s="16">
        <v>250</v>
      </c>
      <c r="Y52" s="2">
        <f>(250/B13)^2</f>
        <v>25.190162829212525</v>
      </c>
      <c r="Z52" s="16">
        <f>10*LOG(Y52^2/((Y52-1)^2+Y52/B12^2))</f>
        <v>-0.06104369794862398</v>
      </c>
      <c r="AA52" s="1" t="s">
        <v>22</v>
      </c>
      <c r="AB52" s="16">
        <f t="shared" si="17"/>
        <v>0.08092499184506362</v>
      </c>
      <c r="AC52" s="1" t="s">
        <v>22</v>
      </c>
      <c r="AD52" s="16">
        <v>250</v>
      </c>
      <c r="AE52" s="2">
        <f>(AD52/B5)^2</f>
        <v>65.03642039542143</v>
      </c>
      <c r="AF52" s="16">
        <f t="shared" si="18"/>
        <v>4229.735977849989</v>
      </c>
      <c r="AG52" s="2">
        <f>AG41</f>
        <v>0.9365244536940688</v>
      </c>
      <c r="AH52" s="16">
        <f>AH41</f>
        <v>2.428762304692826</v>
      </c>
      <c r="AI52" s="2">
        <f>AI41</f>
        <v>3.6131094072020993</v>
      </c>
      <c r="AJ52" s="16">
        <f>AJ41</f>
        <v>2.5840082167625593</v>
      </c>
      <c r="AK52" s="2">
        <f>10*LOG(AF52^2/((AF52-AI41*AE52+AG41)^2+AE52*(AJ41*AE52-AH41)^2))</f>
        <v>0.03437857623807315</v>
      </c>
      <c r="AL52" s="15" t="s">
        <v>22</v>
      </c>
      <c r="AM52" s="2">
        <f t="shared" si="19"/>
        <v>0.17634726603176076</v>
      </c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</row>
    <row r="53" spans="1:51" ht="12.75">
      <c r="A53" s="2">
        <f>A41</f>
        <v>1.8</v>
      </c>
      <c r="B53" s="16">
        <f>B41</f>
        <v>0.8</v>
      </c>
      <c r="C53" s="2">
        <f>C41</f>
        <v>1.1</v>
      </c>
      <c r="D53" s="16">
        <v>315</v>
      </c>
      <c r="E53" s="2">
        <f t="shared" si="0"/>
        <v>1.092063492063492</v>
      </c>
      <c r="F53" s="16">
        <f t="shared" si="1"/>
        <v>20.71259342541178</v>
      </c>
      <c r="G53" s="2">
        <f t="shared" si="2"/>
        <v>0.046232771543400664</v>
      </c>
      <c r="H53" s="16">
        <f t="shared" si="3"/>
        <v>9.20559707796079</v>
      </c>
      <c r="I53" s="2">
        <f t="shared" si="4"/>
        <v>0.023619345246177183</v>
      </c>
      <c r="J53" s="16">
        <f t="shared" si="5"/>
        <v>12.657695982196088</v>
      </c>
      <c r="K53" s="2">
        <f t="shared" si="6"/>
        <v>0.007204982148326453</v>
      </c>
      <c r="L53" s="16">
        <f t="shared" si="7"/>
        <v>22.66615415036639</v>
      </c>
      <c r="M53" s="2">
        <f t="shared" si="8"/>
        <v>-0.027569814676073716</v>
      </c>
      <c r="N53" s="16">
        <f t="shared" si="9"/>
        <v>24.274035387304558</v>
      </c>
      <c r="O53" s="2">
        <f t="shared" si="10"/>
        <v>-0.031185485184742765</v>
      </c>
      <c r="P53" s="16">
        <f t="shared" si="11"/>
        <v>15.651207146398109</v>
      </c>
      <c r="Q53" s="2">
        <f t="shared" si="12"/>
        <v>0.0036243629590677366</v>
      </c>
      <c r="R53" s="16">
        <f t="shared" si="13"/>
        <v>25.960967076476066</v>
      </c>
      <c r="S53" s="2">
        <f t="shared" si="14"/>
        <v>0.028378483585097754</v>
      </c>
      <c r="T53" s="16">
        <v>1</v>
      </c>
      <c r="U53" s="2">
        <f t="shared" si="15"/>
        <v>1.0503046456212533</v>
      </c>
      <c r="V53" s="16">
        <f t="shared" si="16"/>
        <v>0.2131528642462966</v>
      </c>
      <c r="W53" s="1" t="s">
        <v>22</v>
      </c>
      <c r="X53" s="16">
        <v>315</v>
      </c>
      <c r="Y53" s="2">
        <f>(315/B13)^2</f>
        <v>39.991902507657805</v>
      </c>
      <c r="Z53" s="16">
        <f>10*LOG(Y53^2/((Y53-1)^2+Y53/B12^2))</f>
        <v>-0.03696841425492202</v>
      </c>
      <c r="AA53" s="1" t="s">
        <v>22</v>
      </c>
      <c r="AB53" s="16">
        <f t="shared" si="17"/>
        <v>0.17618444999137456</v>
      </c>
      <c r="AC53" s="1" t="s">
        <v>22</v>
      </c>
      <c r="AD53" s="16">
        <v>315</v>
      </c>
      <c r="AE53" s="2">
        <f>(AD53/B5)^2</f>
        <v>103.25182101977109</v>
      </c>
      <c r="AF53" s="16">
        <f t="shared" si="18"/>
        <v>10660.938543898843</v>
      </c>
      <c r="AG53" s="2">
        <f>AG41</f>
        <v>0.9365244536940688</v>
      </c>
      <c r="AH53" s="16">
        <f>AH41</f>
        <v>2.428762304692826</v>
      </c>
      <c r="AI53" s="2">
        <f>AI41</f>
        <v>3.6131094072020993</v>
      </c>
      <c r="AJ53" s="16">
        <f>AJ41</f>
        <v>2.5840082167625593</v>
      </c>
      <c r="AK53" s="2">
        <f>10*LOG(AF53^2/((AF53-AI41*AE53+AG41)^2+AE53*(AJ41*AE53-AH41)^2))</f>
        <v>0.02218910633480738</v>
      </c>
      <c r="AL53" s="15" t="s">
        <v>22</v>
      </c>
      <c r="AM53" s="2">
        <f t="shared" si="19"/>
        <v>0.23534197058110398</v>
      </c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</row>
    <row r="54" spans="1:51" ht="12.75">
      <c r="A54" s="2">
        <f>A41</f>
        <v>1.8</v>
      </c>
      <c r="B54" s="16">
        <f>B41</f>
        <v>0.8</v>
      </c>
      <c r="C54" s="2">
        <f>C41</f>
        <v>1.1</v>
      </c>
      <c r="D54" s="16">
        <v>400</v>
      </c>
      <c r="E54" s="2">
        <f t="shared" si="0"/>
        <v>0.86</v>
      </c>
      <c r="F54" s="16">
        <f t="shared" si="1"/>
        <v>26.301705937030828</v>
      </c>
      <c r="G54" s="2">
        <f t="shared" si="2"/>
        <v>0.03499188173468937</v>
      </c>
      <c r="H54" s="16">
        <f t="shared" si="3"/>
        <v>11.689647083124811</v>
      </c>
      <c r="I54" s="2">
        <f t="shared" si="4"/>
        <v>-0.06575452058669529</v>
      </c>
      <c r="J54" s="16">
        <f t="shared" si="5"/>
        <v>16.07326473929662</v>
      </c>
      <c r="K54" s="2">
        <f t="shared" si="6"/>
        <v>-0.022225160575359715</v>
      </c>
      <c r="L54" s="16">
        <f t="shared" si="7"/>
        <v>28.78241796871922</v>
      </c>
      <c r="M54" s="2">
        <f t="shared" si="8"/>
        <v>-0.01690282760089336</v>
      </c>
      <c r="N54" s="16">
        <f t="shared" si="9"/>
        <v>30.82417192038674</v>
      </c>
      <c r="O54" s="2">
        <f t="shared" si="10"/>
        <v>-0.01809677640594914</v>
      </c>
      <c r="P54" s="16">
        <f t="shared" si="11"/>
        <v>19.87454875733093</v>
      </c>
      <c r="Q54" s="2">
        <f t="shared" si="12"/>
        <v>0.0430052767967666</v>
      </c>
      <c r="R54" s="16">
        <f t="shared" si="13"/>
        <v>32.96630739869977</v>
      </c>
      <c r="S54" s="2">
        <f t="shared" si="14"/>
        <v>0.030327679699195746</v>
      </c>
      <c r="T54" s="16">
        <v>1</v>
      </c>
      <c r="U54" s="2">
        <f t="shared" si="15"/>
        <v>0.9853455530617542</v>
      </c>
      <c r="V54" s="16">
        <f t="shared" si="16"/>
        <v>-0.06411439075646612</v>
      </c>
      <c r="W54" s="1" t="s">
        <v>22</v>
      </c>
      <c r="X54" s="16">
        <v>400</v>
      </c>
      <c r="Y54" s="2">
        <f>(400/B13)^2</f>
        <v>64.48681684278407</v>
      </c>
      <c r="Z54" s="16">
        <f>10*LOG(Y54^2/((Y54-1)^2+Y54/B12^2))</f>
        <v>-0.022326902787271556</v>
      </c>
      <c r="AA54" s="1" t="s">
        <v>22</v>
      </c>
      <c r="AB54" s="16">
        <f t="shared" si="17"/>
        <v>-0.08644129354373767</v>
      </c>
      <c r="AC54" s="1" t="s">
        <v>22</v>
      </c>
      <c r="AD54" s="16">
        <v>400</v>
      </c>
      <c r="AE54" s="2">
        <f>(AD54/B5)^2</f>
        <v>166.49323621227884</v>
      </c>
      <c r="AF54" s="16">
        <f t="shared" si="18"/>
        <v>27719.99770443768</v>
      </c>
      <c r="AG54" s="2">
        <f>AG41</f>
        <v>0.9365244536940688</v>
      </c>
      <c r="AH54" s="16">
        <f>AH41</f>
        <v>2.428762304692826</v>
      </c>
      <c r="AI54" s="2">
        <f>AI41</f>
        <v>3.6131094072020993</v>
      </c>
      <c r="AJ54" s="16">
        <f>AJ41</f>
        <v>2.5840082167625593</v>
      </c>
      <c r="AK54" s="2">
        <f>10*LOG(AF54^2/((AF54-AI41*AE54+AG41)^2+AE54*(AJ41*AE54-AH41)^2))</f>
        <v>0.013974764321667391</v>
      </c>
      <c r="AL54" s="15" t="s">
        <v>22</v>
      </c>
      <c r="AM54" s="2">
        <f t="shared" si="19"/>
        <v>-0.05013962643479873</v>
      </c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</row>
    <row r="55" spans="1:51" ht="12.75">
      <c r="A55" s="2">
        <f>A41</f>
        <v>1.8</v>
      </c>
      <c r="B55" s="16">
        <f>B41</f>
        <v>0.8</v>
      </c>
      <c r="C55" s="2">
        <f>C41</f>
        <v>1.1</v>
      </c>
      <c r="D55" s="16">
        <v>500</v>
      </c>
      <c r="E55" s="2">
        <f t="shared" si="0"/>
        <v>0.688</v>
      </c>
      <c r="F55" s="16">
        <f t="shared" si="1"/>
        <v>32.877132421288536</v>
      </c>
      <c r="G55" s="2">
        <f t="shared" si="2"/>
        <v>0.0302338100082084</v>
      </c>
      <c r="H55" s="16">
        <f t="shared" si="3"/>
        <v>14.612058853906015</v>
      </c>
      <c r="I55" s="2">
        <f t="shared" si="4"/>
        <v>0.0608635756106871</v>
      </c>
      <c r="J55" s="16">
        <f t="shared" si="5"/>
        <v>20.091580924120773</v>
      </c>
      <c r="K55" s="2">
        <f t="shared" si="6"/>
        <v>0.04710628679405562</v>
      </c>
      <c r="L55" s="16">
        <f t="shared" si="7"/>
        <v>35.97802246089903</v>
      </c>
      <c r="M55" s="2">
        <f t="shared" si="8"/>
        <v>-0.027481422663055845</v>
      </c>
      <c r="N55" s="16">
        <f t="shared" si="9"/>
        <v>38.53021490048343</v>
      </c>
      <c r="O55" s="2">
        <f t="shared" si="10"/>
        <v>0.01917132698684467</v>
      </c>
      <c r="P55" s="16">
        <f t="shared" si="11"/>
        <v>24.843185946663667</v>
      </c>
      <c r="Q55" s="2">
        <f t="shared" si="12"/>
        <v>-0.011493133336742128</v>
      </c>
      <c r="R55" s="16">
        <f t="shared" si="13"/>
        <v>41.20788424837471</v>
      </c>
      <c r="S55" s="2">
        <f t="shared" si="14"/>
        <v>-0.008711551424837</v>
      </c>
      <c r="T55" s="16">
        <v>1</v>
      </c>
      <c r="U55" s="2">
        <f t="shared" si="15"/>
        <v>1.1096888919751609</v>
      </c>
      <c r="V55" s="16">
        <f t="shared" si="16"/>
        <v>0.4520123875377565</v>
      </c>
      <c r="W55" s="1" t="s">
        <v>22</v>
      </c>
      <c r="X55" s="16">
        <v>500</v>
      </c>
      <c r="Y55" s="2">
        <f>(500/B13)^2</f>
        <v>100.7606513168501</v>
      </c>
      <c r="Z55" s="16">
        <f>10*LOG(Y55^2/((Y55-1)^2+Y55/B12^2))</f>
        <v>-0.014062602542312942</v>
      </c>
      <c r="AA55" s="1" t="s">
        <v>22</v>
      </c>
      <c r="AB55" s="16">
        <f t="shared" si="17"/>
        <v>0.43794978499544357</v>
      </c>
      <c r="AC55" s="1" t="s">
        <v>22</v>
      </c>
      <c r="AD55" s="16">
        <v>500</v>
      </c>
      <c r="AE55" s="2">
        <f>(AD55/B5)^2</f>
        <v>260.1456815816857</v>
      </c>
      <c r="AF55" s="16">
        <f t="shared" si="18"/>
        <v>67675.77564559982</v>
      </c>
      <c r="AG55" s="2">
        <f>AG41</f>
        <v>0.9365244536940688</v>
      </c>
      <c r="AH55" s="16">
        <f>AH41</f>
        <v>2.428762304692826</v>
      </c>
      <c r="AI55" s="2">
        <f>AI41</f>
        <v>3.6131094072020993</v>
      </c>
      <c r="AJ55" s="16">
        <f>AJ41</f>
        <v>2.5840082167625593</v>
      </c>
      <c r="AK55" s="2">
        <f>10*LOG(AF55^2/((AF55-AI41*AE55+AG41)^2+AE55*(AJ41*AE55-AH41)^2))</f>
        <v>0.009024294701055528</v>
      </c>
      <c r="AL55" s="15" t="s">
        <v>22</v>
      </c>
      <c r="AM55" s="2">
        <f t="shared" si="19"/>
        <v>0.46103668223881206</v>
      </c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</row>
    <row r="56" spans="1:51" ht="12.75">
      <c r="A56" s="2">
        <f>A41</f>
        <v>1.8</v>
      </c>
      <c r="B56" s="16">
        <f>B41</f>
        <v>0.8</v>
      </c>
      <c r="C56" s="2">
        <f>C41</f>
        <v>1.1</v>
      </c>
      <c r="D56" s="16">
        <v>630</v>
      </c>
      <c r="E56" s="2">
        <f t="shared" si="0"/>
        <v>0.546031746031746</v>
      </c>
      <c r="F56" s="16">
        <f t="shared" si="1"/>
        <v>41.42518685082356</v>
      </c>
      <c r="G56" s="2">
        <f t="shared" si="2"/>
        <v>-0.01331961984281262</v>
      </c>
      <c r="H56" s="16">
        <f t="shared" si="3"/>
        <v>18.41119415592158</v>
      </c>
      <c r="I56" s="2">
        <f t="shared" si="4"/>
        <v>-0.023054273138458814</v>
      </c>
      <c r="J56" s="16">
        <f t="shared" si="5"/>
        <v>25.315391964392177</v>
      </c>
      <c r="K56" s="2">
        <f t="shared" si="6"/>
        <v>0.007174957086776559</v>
      </c>
      <c r="L56" s="16">
        <f t="shared" si="7"/>
        <v>45.33230830073278</v>
      </c>
      <c r="M56" s="2">
        <f t="shared" si="8"/>
        <v>0.02152384990682166</v>
      </c>
      <c r="N56" s="16">
        <f t="shared" si="9"/>
        <v>48.548070774609116</v>
      </c>
      <c r="O56" s="2">
        <f t="shared" si="10"/>
        <v>-0.020377147690439745</v>
      </c>
      <c r="P56" s="16">
        <f t="shared" si="11"/>
        <v>31.302414292796218</v>
      </c>
      <c r="Q56" s="2">
        <f t="shared" si="12"/>
        <v>-0.003618527023027162</v>
      </c>
      <c r="R56" s="16">
        <f t="shared" si="13"/>
        <v>51.92193415295213</v>
      </c>
      <c r="S56" s="2">
        <f t="shared" si="14"/>
        <v>0.019189073702585272</v>
      </c>
      <c r="T56" s="16">
        <v>1</v>
      </c>
      <c r="U56" s="2">
        <f t="shared" si="15"/>
        <v>0.9875183130014451</v>
      </c>
      <c r="V56" s="16">
        <f t="shared" si="16"/>
        <v>-0.05454841866838887</v>
      </c>
      <c r="W56" s="1" t="s">
        <v>22</v>
      </c>
      <c r="X56" s="16">
        <v>630</v>
      </c>
      <c r="Y56" s="2">
        <f>(630/B13)^2</f>
        <v>159.96761003063122</v>
      </c>
      <c r="Z56" s="16">
        <f>10*LOG(Y56^2/((Y56-1)^2+Y56/B12^2))</f>
        <v>-0.008763558319191029</v>
      </c>
      <c r="AA56" s="1" t="s">
        <v>22</v>
      </c>
      <c r="AB56" s="16">
        <f t="shared" si="17"/>
        <v>-0.0633119769875799</v>
      </c>
      <c r="AC56" s="1" t="s">
        <v>22</v>
      </c>
      <c r="AD56" s="16">
        <v>630</v>
      </c>
      <c r="AE56" s="2">
        <f>(AD56/B5)^2</f>
        <v>413.00728407908434</v>
      </c>
      <c r="AF56" s="16">
        <f t="shared" si="18"/>
        <v>170575.0167023815</v>
      </c>
      <c r="AG56" s="2">
        <f>AG41</f>
        <v>0.9365244536940688</v>
      </c>
      <c r="AH56" s="16">
        <f>AH41</f>
        <v>2.428762304692826</v>
      </c>
      <c r="AI56" s="2">
        <f>AI41</f>
        <v>3.6131094072020993</v>
      </c>
      <c r="AJ56" s="16">
        <f>AJ41</f>
        <v>2.5840082167625593</v>
      </c>
      <c r="AK56" s="2">
        <f>10*LOG(AF56^2/((AF56-AI41*AE56+AG41)^2+AE56*(AJ41*AE56-AH41)^2))</f>
        <v>0.005717558776393816</v>
      </c>
      <c r="AL56" s="15" t="s">
        <v>22</v>
      </c>
      <c r="AM56" s="2">
        <f t="shared" si="19"/>
        <v>-0.04883085989199506</v>
      </c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</row>
    <row r="57" spans="1:51" ht="12.75">
      <c r="A57" s="2">
        <f>A41</f>
        <v>1.8</v>
      </c>
      <c r="B57" s="16">
        <f>B41</f>
        <v>0.8</v>
      </c>
      <c r="C57" s="2">
        <f>C41</f>
        <v>1.1</v>
      </c>
      <c r="D57" s="16">
        <v>800</v>
      </c>
      <c r="E57" s="2">
        <f t="shared" si="0"/>
        <v>0.43</v>
      </c>
      <c r="F57" s="16">
        <f t="shared" si="1"/>
        <v>52.603411874061656</v>
      </c>
      <c r="G57" s="2">
        <f t="shared" si="2"/>
        <v>0.013685490125270245</v>
      </c>
      <c r="H57" s="16">
        <f t="shared" si="3"/>
        <v>23.379294166249622</v>
      </c>
      <c r="I57" s="2">
        <f t="shared" si="4"/>
        <v>-0.042061392864847634</v>
      </c>
      <c r="J57" s="16">
        <f t="shared" si="5"/>
        <v>32.14652947859324</v>
      </c>
      <c r="K57" s="2">
        <f t="shared" si="6"/>
        <v>0.020758657996553503</v>
      </c>
      <c r="L57" s="16">
        <f t="shared" si="7"/>
        <v>57.56483593743844</v>
      </c>
      <c r="M57" s="2">
        <f t="shared" si="8"/>
        <v>0.014767632173994828</v>
      </c>
      <c r="N57" s="16">
        <f t="shared" si="9"/>
        <v>61.64834384077348</v>
      </c>
      <c r="O57" s="2">
        <f t="shared" si="10"/>
        <v>-0.015019658470448335</v>
      </c>
      <c r="P57" s="16">
        <f t="shared" si="11"/>
        <v>39.74909751466186</v>
      </c>
      <c r="Q57" s="2">
        <f t="shared" si="12"/>
        <v>0.022324254648955003</v>
      </c>
      <c r="R57" s="16">
        <f t="shared" si="13"/>
        <v>65.93261479739954</v>
      </c>
      <c r="S57" s="2">
        <f t="shared" si="14"/>
        <v>0.0006191106441590484</v>
      </c>
      <c r="T57" s="16">
        <v>1</v>
      </c>
      <c r="U57" s="2">
        <f t="shared" si="15"/>
        <v>1.0150740942536367</v>
      </c>
      <c r="V57" s="16">
        <f t="shared" si="16"/>
        <v>0.06497744269961445</v>
      </c>
      <c r="W57" s="1" t="s">
        <v>22</v>
      </c>
      <c r="X57" s="16">
        <v>800</v>
      </c>
      <c r="Y57" s="2">
        <f>(800/B13)^2</f>
        <v>257.94726737113626</v>
      </c>
      <c r="Z57" s="16">
        <f>10*LOG(Y57^2/((Y57-1)^2+Y57/B12^2))</f>
        <v>-0.00539692930255959</v>
      </c>
      <c r="AA57" s="1" t="s">
        <v>22</v>
      </c>
      <c r="AB57" s="16">
        <f t="shared" si="17"/>
        <v>0.059580513397054856</v>
      </c>
      <c r="AC57" s="1" t="s">
        <v>22</v>
      </c>
      <c r="AD57" s="16">
        <v>800</v>
      </c>
      <c r="AE57" s="2">
        <f>(AD57/B5)^2</f>
        <v>665.9729448491154</v>
      </c>
      <c r="AF57" s="16">
        <f t="shared" si="18"/>
        <v>443519.96327100287</v>
      </c>
      <c r="AG57" s="2">
        <f>AG41</f>
        <v>0.9365244536940688</v>
      </c>
      <c r="AH57" s="16">
        <f>AH41</f>
        <v>2.428762304692826</v>
      </c>
      <c r="AI57" s="2">
        <f>AI41</f>
        <v>3.6131094072020993</v>
      </c>
      <c r="AJ57" s="16">
        <f>AJ41</f>
        <v>2.5840082167625593</v>
      </c>
      <c r="AK57" s="2">
        <f>10*LOG(AF57^2/((AF57-AI41*AE57+AG41)^2+AE57*(AJ41*AE57-AH41)^2))</f>
        <v>0.0035591329791999794</v>
      </c>
      <c r="AL57" s="15" t="s">
        <v>22</v>
      </c>
      <c r="AM57" s="2">
        <f t="shared" si="19"/>
        <v>0.06853657567881442</v>
      </c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</row>
    <row r="58" spans="1:51" ht="12.75">
      <c r="A58" s="2">
        <f>A41</f>
        <v>1.8</v>
      </c>
      <c r="B58" s="16">
        <f>B41</f>
        <v>0.8</v>
      </c>
      <c r="C58" s="2">
        <f>C41</f>
        <v>1.1</v>
      </c>
      <c r="D58" s="16">
        <v>1000</v>
      </c>
      <c r="E58" s="2">
        <f t="shared" si="0"/>
        <v>0.344</v>
      </c>
      <c r="F58" s="16">
        <f t="shared" si="1"/>
        <v>65.75426484257707</v>
      </c>
      <c r="G58" s="2">
        <f t="shared" si="2"/>
        <v>0.003306708334464759</v>
      </c>
      <c r="H58" s="16">
        <f t="shared" si="3"/>
        <v>29.22411770781203</v>
      </c>
      <c r="I58" s="2">
        <f t="shared" si="4"/>
        <v>-0.027829402716858128</v>
      </c>
      <c r="J58" s="16">
        <f t="shared" si="5"/>
        <v>40.18316184824155</v>
      </c>
      <c r="K58" s="2">
        <f t="shared" si="6"/>
        <v>0.015209696947344397</v>
      </c>
      <c r="L58" s="16">
        <f t="shared" si="7"/>
        <v>71.95604492179805</v>
      </c>
      <c r="M58" s="2">
        <f t="shared" si="8"/>
        <v>0.0041147354498738435</v>
      </c>
      <c r="N58" s="16">
        <f t="shared" si="9"/>
        <v>77.06042980096686</v>
      </c>
      <c r="O58" s="2">
        <f t="shared" si="10"/>
        <v>0.012922650914293867</v>
      </c>
      <c r="P58" s="16">
        <f t="shared" si="11"/>
        <v>49.68637189332733</v>
      </c>
      <c r="Q58" s="2">
        <f t="shared" si="12"/>
        <v>-0.011014685101039444</v>
      </c>
      <c r="R58" s="16">
        <f t="shared" si="13"/>
        <v>82.41576849674942</v>
      </c>
      <c r="S58" s="2">
        <f t="shared" si="14"/>
        <v>0.00813086973863525</v>
      </c>
      <c r="T58" s="16">
        <v>1</v>
      </c>
      <c r="U58" s="2">
        <f t="shared" si="15"/>
        <v>1.0048405735667145</v>
      </c>
      <c r="V58" s="16">
        <f t="shared" si="16"/>
        <v>0.02097162739042081</v>
      </c>
      <c r="W58" s="1" t="s">
        <v>22</v>
      </c>
      <c r="X58" s="16">
        <v>1000</v>
      </c>
      <c r="Y58" s="2">
        <f>(1000/B13)^2</f>
        <v>403.0426052674004</v>
      </c>
      <c r="Z58" s="16">
        <f>10*LOG(Y58^2/((Y58-1)^2+Y58/B12^2))</f>
        <v>-0.003439780694713861</v>
      </c>
      <c r="AA58" s="1" t="s">
        <v>22</v>
      </c>
      <c r="AB58" s="16">
        <f t="shared" si="17"/>
        <v>0.017531846695706947</v>
      </c>
      <c r="AC58" s="1" t="s">
        <v>22</v>
      </c>
      <c r="AD58" s="16">
        <v>1000</v>
      </c>
      <c r="AE58" s="2">
        <f>(AD58/B5)^2</f>
        <v>1040.5827263267429</v>
      </c>
      <c r="AF58" s="16">
        <f t="shared" si="18"/>
        <v>1082812.410329597</v>
      </c>
      <c r="AG58" s="2">
        <f>AG41</f>
        <v>0.9365244536940688</v>
      </c>
      <c r="AH58" s="16">
        <f>AH41</f>
        <v>2.428762304692826</v>
      </c>
      <c r="AI58" s="2">
        <f>AI41</f>
        <v>3.6131094072020993</v>
      </c>
      <c r="AJ58" s="16">
        <f>AJ41</f>
        <v>2.5840082167625593</v>
      </c>
      <c r="AK58" s="2">
        <f>10*LOG(AF58^2/((AF58-AI41*AE58+AG41)^2+AE58*(AJ41*AE58-AH41)^2))</f>
        <v>0.0022828668778267203</v>
      </c>
      <c r="AL58" s="15" t="s">
        <v>22</v>
      </c>
      <c r="AM58" s="2">
        <f t="shared" si="19"/>
        <v>0.02325449426824753</v>
      </c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</row>
    <row r="59" spans="1:5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</row>
    <row r="60" spans="1:5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</row>
    <row r="61" spans="1:5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</row>
    <row r="62" spans="1:5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</row>
    <row r="63" spans="1:5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</row>
    <row r="64" spans="1:5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</row>
    <row r="65" spans="1:5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</row>
    <row r="66" spans="1:5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</row>
    <row r="67" spans="1:5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</row>
    <row r="68" spans="1:5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</row>
    <row r="69" spans="1:5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</row>
    <row r="70" spans="1:5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</row>
    <row r="71" spans="1:5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</row>
    <row r="72" spans="1:5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</row>
    <row r="73" spans="1:5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</row>
    <row r="74" spans="1:5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</row>
    <row r="75" spans="1:5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</row>
    <row r="76" spans="1:5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</row>
    <row r="77" spans="1:5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</row>
    <row r="78" spans="1:5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</row>
    <row r="79" spans="1:5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</row>
    <row r="80" spans="1:5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</row>
    <row r="81" spans="1:5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</row>
    <row r="82" spans="1:5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</row>
    <row r="83" spans="1:5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</row>
  </sheetData>
  <sheetProtection password="C46C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K12" sqref="K12"/>
    </sheetView>
  </sheetViews>
  <sheetFormatPr defaultColWidth="9.140625" defaultRowHeight="12.75"/>
  <cols>
    <col min="1" max="1" width="16.7109375" style="0" bestFit="1" customWidth="1"/>
    <col min="2" max="2" width="12.140625" style="0" bestFit="1" customWidth="1"/>
    <col min="3" max="3" width="11.57421875" style="0" bestFit="1" customWidth="1"/>
    <col min="4" max="4" width="10.57421875" style="0" bestFit="1" customWidth="1"/>
  </cols>
  <sheetData>
    <row r="1" spans="1:3" ht="12.75">
      <c r="A1" t="s">
        <v>28</v>
      </c>
      <c r="B1" s="31" t="s">
        <v>29</v>
      </c>
      <c r="C1" s="31" t="s">
        <v>29</v>
      </c>
    </row>
    <row r="2" spans="1:3" ht="12.75">
      <c r="A2" t="s">
        <v>30</v>
      </c>
      <c r="B2" s="31" t="s">
        <v>31</v>
      </c>
      <c r="C2" s="31" t="s">
        <v>67</v>
      </c>
    </row>
    <row r="3" spans="1:4" ht="12.75">
      <c r="A3" t="s">
        <v>32</v>
      </c>
      <c r="B3" s="32">
        <v>39449</v>
      </c>
      <c r="C3" s="32">
        <v>39449</v>
      </c>
      <c r="D3" s="31" t="s">
        <v>68</v>
      </c>
    </row>
    <row r="4" spans="1:4" ht="12.75">
      <c r="A4" t="s">
        <v>33</v>
      </c>
      <c r="B4" s="34">
        <v>32.859</v>
      </c>
      <c r="C4" s="34">
        <v>34.3775</v>
      </c>
      <c r="D4" s="34">
        <f>AVERAGE(B4:C4)</f>
        <v>33.61825</v>
      </c>
    </row>
    <row r="5" spans="1:4" ht="12.75">
      <c r="A5" t="s">
        <v>34</v>
      </c>
      <c r="B5" s="34">
        <v>60.4674</v>
      </c>
      <c r="C5" s="34">
        <v>60.2402</v>
      </c>
      <c r="D5" s="34">
        <f aca="true" t="shared" si="0" ref="D5:D38">AVERAGE(B5:C5)</f>
        <v>60.3538</v>
      </c>
    </row>
    <row r="6" spans="1:4" ht="12.75">
      <c r="A6" t="s">
        <v>35</v>
      </c>
      <c r="B6" s="34">
        <v>33.6</v>
      </c>
      <c r="C6" s="34">
        <v>33.6</v>
      </c>
      <c r="D6" s="34">
        <f t="shared" si="0"/>
        <v>33.6</v>
      </c>
    </row>
    <row r="7" spans="1:4" ht="12.75">
      <c r="A7" t="s">
        <v>36</v>
      </c>
      <c r="B7" s="34">
        <v>0</v>
      </c>
      <c r="C7" s="34">
        <v>0</v>
      </c>
      <c r="D7" s="34">
        <f t="shared" si="0"/>
        <v>0</v>
      </c>
    </row>
    <row r="8" spans="1:4" ht="12.75">
      <c r="A8" t="s">
        <v>37</v>
      </c>
      <c r="B8" s="34">
        <v>33.6</v>
      </c>
      <c r="C8" s="34">
        <v>33.6</v>
      </c>
      <c r="D8" s="34">
        <f t="shared" si="0"/>
        <v>33.6</v>
      </c>
    </row>
    <row r="9" spans="1:4" ht="12.75">
      <c r="A9" t="s">
        <v>38</v>
      </c>
      <c r="B9" s="34">
        <v>210</v>
      </c>
      <c r="C9" s="34">
        <v>210</v>
      </c>
      <c r="D9" s="34">
        <f t="shared" si="0"/>
        <v>210</v>
      </c>
    </row>
    <row r="10" spans="1:4" ht="12.75">
      <c r="A10" t="s">
        <v>39</v>
      </c>
      <c r="B10" s="34">
        <v>41.7013</v>
      </c>
      <c r="C10" s="34">
        <v>42.4379</v>
      </c>
      <c r="D10" s="34">
        <f t="shared" si="0"/>
        <v>42.0696</v>
      </c>
    </row>
    <row r="11" spans="1:4" ht="12.75">
      <c r="A11" t="s">
        <v>40</v>
      </c>
      <c r="B11" s="34">
        <v>0</v>
      </c>
      <c r="C11" s="34">
        <v>0</v>
      </c>
      <c r="D11" s="34">
        <f t="shared" si="0"/>
        <v>0</v>
      </c>
    </row>
    <row r="12" spans="1:4" ht="12.75">
      <c r="A12" t="s">
        <v>41</v>
      </c>
      <c r="B12" s="34">
        <v>36.4133</v>
      </c>
      <c r="C12" s="34">
        <v>38.5659</v>
      </c>
      <c r="D12" s="34">
        <f t="shared" si="0"/>
        <v>37.489599999999996</v>
      </c>
    </row>
    <row r="13" spans="1:4" ht="12.75">
      <c r="A13" t="s">
        <v>42</v>
      </c>
      <c r="B13" s="34">
        <v>15.7784</v>
      </c>
      <c r="C13" s="34">
        <v>16.0895</v>
      </c>
      <c r="D13" s="34">
        <f t="shared" si="0"/>
        <v>15.93395</v>
      </c>
    </row>
    <row r="14" spans="1:4" ht="12.75">
      <c r="A14" t="s">
        <v>43</v>
      </c>
      <c r="B14" s="34">
        <v>5.97</v>
      </c>
      <c r="C14" s="34">
        <v>6.1</v>
      </c>
      <c r="D14" s="34">
        <f t="shared" si="0"/>
        <v>6.035</v>
      </c>
    </row>
    <row r="15" spans="1:4" ht="12.75">
      <c r="A15" t="s">
        <v>44</v>
      </c>
      <c r="B15" s="34">
        <v>3.9639</v>
      </c>
      <c r="C15" s="34">
        <v>4.197</v>
      </c>
      <c r="D15" s="34">
        <f t="shared" si="0"/>
        <v>4.08045</v>
      </c>
    </row>
    <row r="16" spans="1:4" ht="12.75">
      <c r="A16" t="s">
        <v>45</v>
      </c>
      <c r="B16" s="34">
        <v>2.5529</v>
      </c>
      <c r="C16" s="34">
        <v>2.656</v>
      </c>
      <c r="D16" s="34">
        <f t="shared" si="0"/>
        <v>2.60445</v>
      </c>
    </row>
    <row r="17" spans="1:4" ht="12.75">
      <c r="A17" t="s">
        <v>46</v>
      </c>
      <c r="B17" s="34">
        <v>0.4265</v>
      </c>
      <c r="C17" s="34">
        <v>0.4459</v>
      </c>
      <c r="D17" s="34">
        <f t="shared" si="0"/>
        <v>0.43620000000000003</v>
      </c>
    </row>
    <row r="18" spans="1:4" ht="12.75">
      <c r="A18" t="s">
        <v>1</v>
      </c>
      <c r="B18" s="34">
        <v>0.3655</v>
      </c>
      <c r="C18" s="34">
        <v>0.3818</v>
      </c>
      <c r="D18" s="34">
        <f t="shared" si="0"/>
        <v>0.37365</v>
      </c>
    </row>
    <row r="19" spans="1:4" ht="12.75">
      <c r="A19" t="s">
        <v>47</v>
      </c>
      <c r="B19" s="34">
        <v>0.4787</v>
      </c>
      <c r="C19" s="34">
        <v>0.4153</v>
      </c>
      <c r="D19" s="34">
        <f t="shared" si="0"/>
        <v>0.447</v>
      </c>
    </row>
    <row r="20" spans="1:4" ht="12.75">
      <c r="A20" t="s">
        <v>48</v>
      </c>
      <c r="B20" s="34">
        <v>49.0129</v>
      </c>
      <c r="C20" s="34">
        <v>51.6072</v>
      </c>
      <c r="D20" s="34">
        <f t="shared" si="0"/>
        <v>50.310050000000004</v>
      </c>
    </row>
    <row r="21" spans="1:4" ht="12.75">
      <c r="A21" t="s">
        <v>49</v>
      </c>
      <c r="B21" s="34">
        <v>11.901</v>
      </c>
      <c r="C21" s="34">
        <v>12.3495</v>
      </c>
      <c r="D21" s="34">
        <f t="shared" si="0"/>
        <v>12.125250000000001</v>
      </c>
    </row>
    <row r="22" spans="1:4" ht="12.75">
      <c r="A22" t="s">
        <v>50</v>
      </c>
      <c r="B22" s="34">
        <v>80.182</v>
      </c>
      <c r="C22" s="34">
        <v>69.5725</v>
      </c>
      <c r="D22" s="34">
        <f t="shared" si="0"/>
        <v>74.87725</v>
      </c>
    </row>
    <row r="23" spans="1:4" ht="12.75">
      <c r="A23" t="s">
        <v>51</v>
      </c>
      <c r="B23" s="34">
        <v>90.2636</v>
      </c>
      <c r="C23" s="34">
        <v>90.0433</v>
      </c>
      <c r="D23" s="34">
        <f t="shared" si="0"/>
        <v>90.15344999999999</v>
      </c>
    </row>
    <row r="24" spans="1:4" ht="12.75">
      <c r="A24" t="s">
        <v>52</v>
      </c>
      <c r="B24" s="34">
        <v>0.8545</v>
      </c>
      <c r="C24" s="34">
        <v>0.8643</v>
      </c>
      <c r="D24" s="34">
        <f t="shared" si="0"/>
        <v>0.8593999999999999</v>
      </c>
    </row>
    <row r="25" spans="1:4" ht="12.75">
      <c r="A25" t="s">
        <v>53</v>
      </c>
      <c r="B25" s="34">
        <v>0.2784</v>
      </c>
      <c r="C25" s="34">
        <v>0.2839</v>
      </c>
      <c r="D25" s="34">
        <f t="shared" si="0"/>
        <v>0.28115</v>
      </c>
    </row>
    <row r="26" spans="1:4" ht="12.75">
      <c r="A26" t="s">
        <v>54</v>
      </c>
      <c r="B26" s="34">
        <v>5.742194E-07</v>
      </c>
      <c r="C26" s="34">
        <v>4.9824E-07</v>
      </c>
      <c r="D26" s="34">
        <f t="shared" si="0"/>
        <v>5.362297E-07</v>
      </c>
    </row>
    <row r="27" spans="1:4" ht="12.75">
      <c r="A27" t="s">
        <v>55</v>
      </c>
      <c r="B27" s="35">
        <v>3304.17</v>
      </c>
      <c r="C27" s="35">
        <v>3498.478</v>
      </c>
      <c r="D27" s="35">
        <f t="shared" si="0"/>
        <v>3401.324</v>
      </c>
    </row>
    <row r="28" spans="1:4" ht="12.75">
      <c r="A28" t="s">
        <v>56</v>
      </c>
      <c r="B28" s="34">
        <v>40.8558</v>
      </c>
      <c r="C28" s="34">
        <v>43.0183</v>
      </c>
      <c r="D28" s="34">
        <f t="shared" si="0"/>
        <v>41.93705</v>
      </c>
    </row>
    <row r="29" spans="1:4" ht="12.75">
      <c r="A29" t="s">
        <v>57</v>
      </c>
      <c r="B29" s="35">
        <v>23080.1</v>
      </c>
      <c r="C29" s="35">
        <v>24339.04</v>
      </c>
      <c r="D29" s="35">
        <f t="shared" si="0"/>
        <v>23709.57</v>
      </c>
    </row>
    <row r="30" spans="1:4" ht="12.75">
      <c r="A30" t="s">
        <v>58</v>
      </c>
      <c r="B30" s="33">
        <v>0.0346</v>
      </c>
      <c r="C30" s="33">
        <v>0.0346</v>
      </c>
      <c r="D30" s="33">
        <f t="shared" si="0"/>
        <v>0.0346</v>
      </c>
    </row>
    <row r="31" spans="1:4" ht="12.75">
      <c r="A31" t="s">
        <v>59</v>
      </c>
      <c r="B31" s="34">
        <v>67.7937</v>
      </c>
      <c r="C31" s="34">
        <v>63.34</v>
      </c>
      <c r="D31" s="34">
        <f t="shared" si="0"/>
        <v>65.56685</v>
      </c>
    </row>
    <row r="32" spans="1:4" ht="12.75">
      <c r="A32" t="s">
        <v>60</v>
      </c>
      <c r="B32" s="34">
        <v>346.0527</v>
      </c>
      <c r="C32" s="34">
        <v>338.387</v>
      </c>
      <c r="D32" s="34">
        <f t="shared" si="0"/>
        <v>342.21985</v>
      </c>
    </row>
    <row r="33" spans="1:4" ht="12.75">
      <c r="A33" t="s">
        <v>61</v>
      </c>
      <c r="B33" s="34">
        <v>35.7313</v>
      </c>
      <c r="C33" s="34">
        <v>36.3379</v>
      </c>
      <c r="D33" s="34">
        <f t="shared" si="0"/>
        <v>36.0346</v>
      </c>
    </row>
    <row r="34" spans="1:4" ht="12.75">
      <c r="A34" t="s">
        <v>62</v>
      </c>
      <c r="B34" s="34">
        <v>45.3644</v>
      </c>
      <c r="C34" s="34">
        <v>47.9587</v>
      </c>
      <c r="D34" s="34">
        <f t="shared" si="0"/>
        <v>46.661550000000005</v>
      </c>
    </row>
    <row r="35" spans="1:4" ht="12.75">
      <c r="A35" t="s">
        <v>63</v>
      </c>
      <c r="B35" s="34">
        <v>27.6882</v>
      </c>
      <c r="C35" s="34">
        <v>29.1985</v>
      </c>
      <c r="D35" s="34">
        <f t="shared" si="0"/>
        <v>28.44335</v>
      </c>
    </row>
    <row r="36" spans="1:4" ht="12.75">
      <c r="A36" t="s">
        <v>64</v>
      </c>
      <c r="B36" s="34">
        <v>0.6403</v>
      </c>
      <c r="C36" s="34">
        <v>0.6086</v>
      </c>
      <c r="D36" s="34">
        <f t="shared" si="0"/>
        <v>0.62445</v>
      </c>
    </row>
    <row r="37" spans="1:4" ht="12.75">
      <c r="A37" t="s">
        <v>65</v>
      </c>
      <c r="B37" s="34">
        <v>6.9475</v>
      </c>
      <c r="C37" s="34">
        <v>7.0623</v>
      </c>
      <c r="D37" s="34">
        <f t="shared" si="0"/>
        <v>7.004899999999999</v>
      </c>
    </row>
    <row r="38" spans="1:4" ht="12.75">
      <c r="A38" t="s">
        <v>66</v>
      </c>
      <c r="B38" s="34">
        <v>13.4184</v>
      </c>
      <c r="C38" s="34">
        <v>13.7161</v>
      </c>
      <c r="D38" s="34">
        <f t="shared" si="0"/>
        <v>13.567250000000001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D22" sqref="D22"/>
    </sheetView>
  </sheetViews>
  <sheetFormatPr defaultColWidth="9.140625" defaultRowHeight="12.75"/>
  <cols>
    <col min="1" max="1" width="16.7109375" style="0" bestFit="1" customWidth="1"/>
    <col min="2" max="2" width="12.140625" style="0" bestFit="1" customWidth="1"/>
    <col min="3" max="3" width="11.57421875" style="0" bestFit="1" customWidth="1"/>
    <col min="4" max="4" width="10.57421875" style="0" bestFit="1" customWidth="1"/>
    <col min="5" max="5" width="2.28125" style="0" customWidth="1"/>
  </cols>
  <sheetData>
    <row r="1" spans="1:6" ht="12.75">
      <c r="A1" s="36" t="s">
        <v>28</v>
      </c>
      <c r="B1" s="36" t="s">
        <v>29</v>
      </c>
      <c r="C1" s="36" t="s">
        <v>29</v>
      </c>
      <c r="D1" s="36" t="s">
        <v>29</v>
      </c>
      <c r="E1" s="36"/>
      <c r="F1" s="36"/>
    </row>
    <row r="2" spans="1:6" ht="12.75">
      <c r="A2" s="36" t="s">
        <v>30</v>
      </c>
      <c r="B2" s="36" t="s">
        <v>31</v>
      </c>
      <c r="C2" s="36" t="s">
        <v>67</v>
      </c>
      <c r="D2" s="36" t="s">
        <v>27</v>
      </c>
      <c r="E2" s="36"/>
      <c r="F2" s="36" t="s">
        <v>29</v>
      </c>
    </row>
    <row r="3" spans="1:6" ht="12.75">
      <c r="A3" s="36" t="s">
        <v>32</v>
      </c>
      <c r="B3" s="37">
        <v>39449</v>
      </c>
      <c r="C3" s="37">
        <v>39449</v>
      </c>
      <c r="D3" s="36" t="s">
        <v>68</v>
      </c>
      <c r="E3" s="36"/>
      <c r="F3" s="36" t="s">
        <v>69</v>
      </c>
    </row>
    <row r="4" spans="1:6" ht="12.75">
      <c r="A4" s="38" t="s">
        <v>33</v>
      </c>
      <c r="B4" s="39">
        <v>32.859</v>
      </c>
      <c r="C4" s="39">
        <v>34.3775</v>
      </c>
      <c r="D4" s="40">
        <f aca="true" t="shared" si="0" ref="D4:D16">AVERAGE(B4:C4)</f>
        <v>33.61825</v>
      </c>
      <c r="E4" s="40"/>
      <c r="F4" s="46">
        <v>31</v>
      </c>
    </row>
    <row r="5" spans="1:6" ht="12.75">
      <c r="A5" s="38" t="s">
        <v>43</v>
      </c>
      <c r="B5" s="43">
        <v>5.97</v>
      </c>
      <c r="C5" s="43">
        <v>6.1</v>
      </c>
      <c r="D5" s="44">
        <f t="shared" si="0"/>
        <v>6.035</v>
      </c>
      <c r="E5" s="44"/>
      <c r="F5" s="44">
        <v>6.2</v>
      </c>
    </row>
    <row r="6" spans="1:6" ht="12.75">
      <c r="A6" s="38" t="s">
        <v>71</v>
      </c>
      <c r="B6" s="41">
        <v>3.9639</v>
      </c>
      <c r="C6" s="41">
        <v>4.197</v>
      </c>
      <c r="D6" s="42">
        <f t="shared" si="0"/>
        <v>4.08045</v>
      </c>
      <c r="E6" s="42"/>
      <c r="F6" s="44">
        <v>3.52</v>
      </c>
    </row>
    <row r="7" spans="1:6" ht="12.75">
      <c r="A7" s="38" t="s">
        <v>45</v>
      </c>
      <c r="B7" s="41">
        <v>2.5529</v>
      </c>
      <c r="C7" s="41">
        <v>2.656</v>
      </c>
      <c r="D7" s="42">
        <f t="shared" si="0"/>
        <v>2.60445</v>
      </c>
      <c r="E7" s="42"/>
      <c r="F7" s="44">
        <v>2.55</v>
      </c>
    </row>
    <row r="8" spans="1:6" ht="12.75">
      <c r="A8" s="38" t="s">
        <v>46</v>
      </c>
      <c r="B8" s="41">
        <v>0.4265</v>
      </c>
      <c r="C8" s="41">
        <v>0.4459</v>
      </c>
      <c r="D8" s="42">
        <f t="shared" si="0"/>
        <v>0.43620000000000003</v>
      </c>
      <c r="E8" s="42"/>
      <c r="F8" s="44">
        <v>0.47</v>
      </c>
    </row>
    <row r="9" spans="1:6" ht="12.75">
      <c r="A9" s="38" t="s">
        <v>1</v>
      </c>
      <c r="B9" s="43">
        <v>0.3655</v>
      </c>
      <c r="C9" s="43">
        <v>0.3818</v>
      </c>
      <c r="D9" s="44">
        <f t="shared" si="0"/>
        <v>0.37365</v>
      </c>
      <c r="E9" s="44"/>
      <c r="F9" s="44">
        <v>0.39</v>
      </c>
    </row>
    <row r="10" spans="1:6" ht="12.75">
      <c r="A10" s="38" t="s">
        <v>70</v>
      </c>
      <c r="B10" s="41">
        <v>0.4787</v>
      </c>
      <c r="C10" s="41">
        <v>0.4153</v>
      </c>
      <c r="D10" s="42">
        <f t="shared" si="0"/>
        <v>0.447</v>
      </c>
      <c r="E10" s="42"/>
      <c r="F10" s="44">
        <v>0.6</v>
      </c>
    </row>
    <row r="11" spans="1:6" ht="12.75">
      <c r="A11" s="38" t="s">
        <v>48</v>
      </c>
      <c r="B11" s="43">
        <v>49.0129</v>
      </c>
      <c r="C11" s="43">
        <v>51.6072</v>
      </c>
      <c r="D11" s="44">
        <f t="shared" si="0"/>
        <v>50.310050000000004</v>
      </c>
      <c r="E11" s="44"/>
      <c r="F11" s="44">
        <v>42.4</v>
      </c>
    </row>
    <row r="12" spans="1:6" ht="12.75">
      <c r="A12" s="38" t="s">
        <v>49</v>
      </c>
      <c r="B12" s="41">
        <v>11.901</v>
      </c>
      <c r="C12" s="41">
        <v>12.3495</v>
      </c>
      <c r="D12" s="42">
        <f t="shared" si="0"/>
        <v>12.125250000000001</v>
      </c>
      <c r="E12" s="42"/>
      <c r="F12" s="44">
        <v>10.9</v>
      </c>
    </row>
    <row r="13" spans="1:6" ht="12.75">
      <c r="A13" s="38" t="s">
        <v>50</v>
      </c>
      <c r="B13" s="43">
        <v>80.182</v>
      </c>
      <c r="C13" s="43">
        <v>69.5725</v>
      </c>
      <c r="D13" s="44">
        <f t="shared" si="0"/>
        <v>74.87725</v>
      </c>
      <c r="E13" s="44"/>
      <c r="F13" s="44">
        <v>87</v>
      </c>
    </row>
    <row r="14" spans="1:6" ht="12.75">
      <c r="A14" s="38" t="s">
        <v>51</v>
      </c>
      <c r="B14" s="45">
        <v>90.2636</v>
      </c>
      <c r="C14" s="45">
        <v>90.0433</v>
      </c>
      <c r="D14" s="46">
        <f t="shared" si="0"/>
        <v>90.15344999999999</v>
      </c>
      <c r="E14" s="46"/>
      <c r="F14" s="46">
        <v>89</v>
      </c>
    </row>
    <row r="15" spans="1:6" ht="12.75">
      <c r="A15" s="38" t="s">
        <v>52</v>
      </c>
      <c r="B15" s="41">
        <v>0.8545</v>
      </c>
      <c r="C15" s="41">
        <v>0.8643</v>
      </c>
      <c r="D15" s="42">
        <f t="shared" si="0"/>
        <v>0.8593999999999999</v>
      </c>
      <c r="E15" s="42"/>
      <c r="F15" s="44">
        <v>0.81</v>
      </c>
    </row>
    <row r="16" spans="1:6" ht="12.75">
      <c r="A16" s="38" t="s">
        <v>58</v>
      </c>
      <c r="B16" s="47">
        <v>0.0346</v>
      </c>
      <c r="C16" s="47">
        <v>0.0346</v>
      </c>
      <c r="D16" s="48">
        <f t="shared" si="0"/>
        <v>0.0346</v>
      </c>
      <c r="E16" s="48"/>
      <c r="F16" s="48">
        <v>0.033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38"/>
  <sheetViews>
    <sheetView workbookViewId="0" topLeftCell="A1">
      <selection activeCell="A36" sqref="A36"/>
    </sheetView>
  </sheetViews>
  <sheetFormatPr defaultColWidth="9.140625" defaultRowHeight="12.75"/>
  <cols>
    <col min="1" max="1" width="16.7109375" style="23" bestFit="1" customWidth="1"/>
    <col min="2" max="2" width="10.140625" style="25" bestFit="1" customWidth="1"/>
    <col min="3" max="3" width="10.57421875" style="25" bestFit="1" customWidth="1"/>
    <col min="4" max="4" width="11.8515625" style="25" bestFit="1" customWidth="1"/>
    <col min="5" max="16384" width="9.140625" style="23" customWidth="1"/>
  </cols>
  <sheetData>
    <row r="3" spans="2:3" ht="12.75">
      <c r="B3" s="24"/>
      <c r="C3" s="24"/>
    </row>
    <row r="4" spans="2:4" ht="12.75">
      <c r="B4" s="26" t="s">
        <v>24</v>
      </c>
      <c r="C4" s="25" t="s">
        <v>25</v>
      </c>
      <c r="D4" s="26" t="s">
        <v>26</v>
      </c>
    </row>
    <row r="5" spans="2:4" ht="12.75">
      <c r="B5" s="30">
        <v>37</v>
      </c>
      <c r="C5" s="27">
        <f>B5/2</f>
        <v>18.5</v>
      </c>
      <c r="D5" s="27">
        <f>C5^2*3.14159/100</f>
        <v>10.752091774999998</v>
      </c>
    </row>
    <row r="6" spans="2:4" ht="12.75">
      <c r="B6" s="30">
        <v>47</v>
      </c>
      <c r="C6" s="27">
        <f>B6/2</f>
        <v>23.5</v>
      </c>
      <c r="D6" s="27">
        <f>C6^2*3.14159/100</f>
        <v>17.349430775</v>
      </c>
    </row>
    <row r="7" spans="2:4" ht="12.75">
      <c r="B7" s="30">
        <v>72</v>
      </c>
      <c r="C7" s="27">
        <f>B7/2</f>
        <v>36</v>
      </c>
      <c r="D7" s="27">
        <f>C7^2*3.14159/100</f>
        <v>40.7150064</v>
      </c>
    </row>
    <row r="8" spans="2:4" ht="12.75">
      <c r="B8" s="30">
        <v>80</v>
      </c>
      <c r="C8" s="27">
        <f>B8/2</f>
        <v>40</v>
      </c>
      <c r="D8" s="27">
        <f>C8^2*3.14159/100</f>
        <v>50.26544</v>
      </c>
    </row>
    <row r="9" spans="2:4" ht="12.75">
      <c r="B9" s="30"/>
      <c r="C9" s="27"/>
      <c r="D9" s="27"/>
    </row>
    <row r="10" spans="2:4" ht="12.75">
      <c r="B10" s="30">
        <v>10</v>
      </c>
      <c r="C10" s="27">
        <f aca="true" t="shared" si="0" ref="C10:C38">B10/2</f>
        <v>5</v>
      </c>
      <c r="D10" s="27">
        <f aca="true" t="shared" si="1" ref="D10:D38">C10^2*3.14159/100</f>
        <v>0.7853975</v>
      </c>
    </row>
    <row r="11" spans="2:4" ht="12.75">
      <c r="B11" s="30">
        <v>20</v>
      </c>
      <c r="C11" s="27">
        <f t="shared" si="0"/>
        <v>10</v>
      </c>
      <c r="D11" s="27">
        <f t="shared" si="1"/>
        <v>3.14159</v>
      </c>
    </row>
    <row r="12" spans="2:4" ht="12.75">
      <c r="B12" s="30">
        <v>25</v>
      </c>
      <c r="C12" s="27">
        <f t="shared" si="0"/>
        <v>12.5</v>
      </c>
      <c r="D12" s="27">
        <f t="shared" si="1"/>
        <v>4.908734375</v>
      </c>
    </row>
    <row r="13" spans="2:4" ht="12.75">
      <c r="B13" s="30">
        <v>30</v>
      </c>
      <c r="C13" s="27">
        <f t="shared" si="0"/>
        <v>15</v>
      </c>
      <c r="D13" s="27">
        <f t="shared" si="1"/>
        <v>7.0685775</v>
      </c>
    </row>
    <row r="14" spans="2:4" ht="12.75">
      <c r="B14" s="30">
        <v>35</v>
      </c>
      <c r="C14" s="27">
        <f t="shared" si="0"/>
        <v>17.5</v>
      </c>
      <c r="D14" s="28">
        <f t="shared" si="1"/>
        <v>9.621119375</v>
      </c>
    </row>
    <row r="15" spans="2:4" ht="12.75">
      <c r="B15" s="30">
        <v>40</v>
      </c>
      <c r="C15" s="27">
        <f t="shared" si="0"/>
        <v>20</v>
      </c>
      <c r="D15" s="28">
        <f t="shared" si="1"/>
        <v>12.56636</v>
      </c>
    </row>
    <row r="16" spans="2:4" ht="12.75">
      <c r="B16" s="30">
        <v>45</v>
      </c>
      <c r="C16" s="27">
        <f t="shared" si="0"/>
        <v>22.5</v>
      </c>
      <c r="D16" s="27">
        <f t="shared" si="1"/>
        <v>15.904299375</v>
      </c>
    </row>
    <row r="17" spans="2:4" ht="12.75">
      <c r="B17" s="30">
        <v>50</v>
      </c>
      <c r="C17" s="27">
        <f t="shared" si="0"/>
        <v>25</v>
      </c>
      <c r="D17" s="28">
        <f t="shared" si="1"/>
        <v>19.6349375</v>
      </c>
    </row>
    <row r="18" spans="2:4" ht="12.75">
      <c r="B18" s="30">
        <v>55</v>
      </c>
      <c r="C18" s="27">
        <f t="shared" si="0"/>
        <v>27.5</v>
      </c>
      <c r="D18" s="27">
        <f t="shared" si="1"/>
        <v>23.758274375</v>
      </c>
    </row>
    <row r="19" spans="2:4" ht="12.75">
      <c r="B19" s="30">
        <v>60</v>
      </c>
      <c r="C19" s="27">
        <f t="shared" si="0"/>
        <v>30</v>
      </c>
      <c r="D19" s="28">
        <f t="shared" si="1"/>
        <v>28.27431</v>
      </c>
    </row>
    <row r="20" spans="2:4" ht="12.75">
      <c r="B20" s="30">
        <v>65</v>
      </c>
      <c r="C20" s="27">
        <f t="shared" si="0"/>
        <v>32.5</v>
      </c>
      <c r="D20" s="27">
        <f t="shared" si="1"/>
        <v>33.183044375</v>
      </c>
    </row>
    <row r="21" spans="2:4" ht="12.75">
      <c r="B21" s="30">
        <v>70</v>
      </c>
      <c r="C21" s="27">
        <f t="shared" si="0"/>
        <v>35</v>
      </c>
      <c r="D21" s="28">
        <f t="shared" si="1"/>
        <v>38.4844775</v>
      </c>
    </row>
    <row r="22" spans="2:4" ht="12.75">
      <c r="B22" s="30">
        <v>75</v>
      </c>
      <c r="C22" s="27">
        <f t="shared" si="0"/>
        <v>37.5</v>
      </c>
      <c r="D22" s="27">
        <f t="shared" si="1"/>
        <v>44.17860937499999</v>
      </c>
    </row>
    <row r="23" spans="2:4" ht="12.75">
      <c r="B23" s="30">
        <v>80</v>
      </c>
      <c r="C23" s="27">
        <f t="shared" si="0"/>
        <v>40</v>
      </c>
      <c r="D23" s="28">
        <f t="shared" si="1"/>
        <v>50.26544</v>
      </c>
    </row>
    <row r="24" spans="2:4" ht="12.75">
      <c r="B24" s="30">
        <v>85</v>
      </c>
      <c r="C24" s="27">
        <f t="shared" si="0"/>
        <v>42.5</v>
      </c>
      <c r="D24" s="27">
        <f t="shared" si="1"/>
        <v>56.744969375000004</v>
      </c>
    </row>
    <row r="25" spans="2:4" ht="12.75">
      <c r="B25" s="30">
        <v>90</v>
      </c>
      <c r="C25" s="27">
        <f t="shared" si="0"/>
        <v>45</v>
      </c>
      <c r="D25" s="27">
        <f t="shared" si="1"/>
        <v>63.6171975</v>
      </c>
    </row>
    <row r="26" spans="2:4" ht="12.75">
      <c r="B26" s="30">
        <v>95</v>
      </c>
      <c r="C26" s="27">
        <f t="shared" si="0"/>
        <v>47.5</v>
      </c>
      <c r="D26" s="27">
        <f t="shared" si="1"/>
        <v>70.88212437499999</v>
      </c>
    </row>
    <row r="27" spans="2:4" ht="12.75">
      <c r="B27" s="30">
        <v>100</v>
      </c>
      <c r="C27" s="27">
        <f t="shared" si="0"/>
        <v>50</v>
      </c>
      <c r="D27" s="28">
        <f t="shared" si="1"/>
        <v>78.53975</v>
      </c>
    </row>
    <row r="28" spans="2:4" ht="12.75">
      <c r="B28" s="30">
        <v>105</v>
      </c>
      <c r="C28" s="27">
        <f t="shared" si="0"/>
        <v>52.5</v>
      </c>
      <c r="D28" s="27">
        <f t="shared" si="1"/>
        <v>86.590074375</v>
      </c>
    </row>
    <row r="29" spans="2:4" ht="12.75">
      <c r="B29" s="30">
        <v>110</v>
      </c>
      <c r="C29" s="27">
        <f t="shared" si="0"/>
        <v>55</v>
      </c>
      <c r="D29" s="27">
        <f t="shared" si="1"/>
        <v>95.0330975</v>
      </c>
    </row>
    <row r="30" spans="2:4" ht="12.75">
      <c r="B30" s="30">
        <v>120</v>
      </c>
      <c r="C30" s="27">
        <f t="shared" si="0"/>
        <v>60</v>
      </c>
      <c r="D30" s="27">
        <f t="shared" si="1"/>
        <v>113.09724</v>
      </c>
    </row>
    <row r="31" spans="2:4" ht="12.75">
      <c r="B31" s="30">
        <v>130</v>
      </c>
      <c r="C31" s="27">
        <f t="shared" si="0"/>
        <v>65</v>
      </c>
      <c r="D31" s="27">
        <f t="shared" si="1"/>
        <v>132.7321775</v>
      </c>
    </row>
    <row r="32" spans="2:4" ht="12.75">
      <c r="B32" s="30">
        <v>140</v>
      </c>
      <c r="C32" s="27">
        <f t="shared" si="0"/>
        <v>70</v>
      </c>
      <c r="D32" s="27">
        <f t="shared" si="1"/>
        <v>153.93791</v>
      </c>
    </row>
    <row r="33" spans="2:4" ht="12.75">
      <c r="B33" s="30">
        <v>150</v>
      </c>
      <c r="C33" s="27">
        <f t="shared" si="0"/>
        <v>75</v>
      </c>
      <c r="D33" s="27">
        <f t="shared" si="1"/>
        <v>176.71443749999997</v>
      </c>
    </row>
    <row r="34" spans="2:4" ht="12.75">
      <c r="B34" s="30">
        <v>160</v>
      </c>
      <c r="C34" s="27">
        <f t="shared" si="0"/>
        <v>80</v>
      </c>
      <c r="D34" s="27">
        <f t="shared" si="1"/>
        <v>201.06176</v>
      </c>
    </row>
    <row r="35" spans="2:4" ht="12.75">
      <c r="B35" s="30">
        <v>170</v>
      </c>
      <c r="C35" s="27">
        <f t="shared" si="0"/>
        <v>85</v>
      </c>
      <c r="D35" s="27">
        <f t="shared" si="1"/>
        <v>226.97987750000001</v>
      </c>
    </row>
    <row r="36" spans="2:4" ht="12.75">
      <c r="B36" s="30">
        <v>180</v>
      </c>
      <c r="C36" s="27">
        <f t="shared" si="0"/>
        <v>90</v>
      </c>
      <c r="D36" s="27">
        <f t="shared" si="1"/>
        <v>254.46879</v>
      </c>
    </row>
    <row r="37" spans="2:4" ht="12.75">
      <c r="B37" s="30">
        <v>190</v>
      </c>
      <c r="C37" s="27">
        <f t="shared" si="0"/>
        <v>95</v>
      </c>
      <c r="D37" s="27">
        <f t="shared" si="1"/>
        <v>283.52849749999996</v>
      </c>
    </row>
    <row r="38" spans="2:4" ht="12.75">
      <c r="B38" s="30">
        <v>200</v>
      </c>
      <c r="C38" s="27">
        <f t="shared" si="0"/>
        <v>100</v>
      </c>
      <c r="D38" s="27">
        <f t="shared" si="1"/>
        <v>314.159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Telia Hem-PC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Jörgen Olsson</dc:creator>
  <cp:keywords/>
  <dc:description/>
  <cp:lastModifiedBy>Troels Gravesen</cp:lastModifiedBy>
  <dcterms:created xsi:type="dcterms:W3CDTF">2002-01-18T12:16:37Z</dcterms:created>
  <dcterms:modified xsi:type="dcterms:W3CDTF">2009-04-20T16:57:08Z</dcterms:modified>
  <cp:category/>
  <cp:version/>
  <cp:contentType/>
  <cp:contentStatus/>
</cp:coreProperties>
</file>